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00 - CRUDE\Crude Assays\Database - Excel Assays\00 Assays Crude Equities for Internet Site\2021 Post Name Change\"/>
    </mc:Choice>
  </mc:AlternateContent>
  <bookViews>
    <workbookView xWindow="90" yWindow="90" windowWidth="9495" windowHeight="4665"/>
  </bookViews>
  <sheets>
    <sheet name="Assay" sheetId="6" r:id="rId1"/>
  </sheets>
  <definedNames>
    <definedName name="_MV15" localSheetId="0">Assay!$E$5</definedName>
    <definedName name="_MV15">#REF!</definedName>
    <definedName name="Alpha" localSheetId="0">Assay!#REF!</definedName>
    <definedName name="Alpha">#REF!</definedName>
    <definedName name="Cut_100_120">#REF!</definedName>
    <definedName name="Cut_100_150">#REF!</definedName>
    <definedName name="Cut_120_140">#REF!</definedName>
    <definedName name="Cut_140_160">#REF!</definedName>
    <definedName name="Cut_15_65">#REF!</definedName>
    <definedName name="Cut_15_80">#REF!</definedName>
    <definedName name="Cut_150_230">#REF!</definedName>
    <definedName name="Cut_150_250">#REF!</definedName>
    <definedName name="Cut_160_180">#REF!</definedName>
    <definedName name="Cut_175_230">#REF!</definedName>
    <definedName name="Cut_175_400">#REF!</definedName>
    <definedName name="Cut_180_200">#REF!</definedName>
    <definedName name="Cut_200_220">#REF!</definedName>
    <definedName name="Cut_220_240">#REF!</definedName>
    <definedName name="Cut_230_375">#REF!</definedName>
    <definedName name="Cut_230_400">#REF!</definedName>
    <definedName name="Cut_240_260">#REF!</definedName>
    <definedName name="Cut_260_280">#REF!</definedName>
    <definedName name="Cut_280_300">#REF!</definedName>
    <definedName name="Cut_300_320">#REF!</definedName>
    <definedName name="Cut_320_340">#REF!</definedName>
    <definedName name="Cut_340_360">#REF!</definedName>
    <definedName name="Cut_360_380">#REF!</definedName>
    <definedName name="Cut_375_550">#REF!</definedName>
    <definedName name="Cut_375_565">#REF!</definedName>
    <definedName name="Cut_375_580">#REF!</definedName>
    <definedName name="Cut_375_FBP">#REF!</definedName>
    <definedName name="Cut_380_400">#REF!</definedName>
    <definedName name="Cut_400_420">#REF!</definedName>
    <definedName name="Cut_400_580">#REF!</definedName>
    <definedName name="Cut_420_440">#REF!</definedName>
    <definedName name="Cut_440_460">#REF!</definedName>
    <definedName name="Cut_460_480">#REF!</definedName>
    <definedName name="Cut_480_500">#REF!</definedName>
    <definedName name="Cut_500_520">#REF!</definedName>
    <definedName name="Cut_520_540">#REF!</definedName>
    <definedName name="Cut_540_560">#REF!</definedName>
    <definedName name="Cut_550_FBP">#REF!</definedName>
    <definedName name="Cut_560_580">#REF!</definedName>
    <definedName name="Cut_565_FBP">#REF!</definedName>
    <definedName name="Cut_580_FBP">#REF!</definedName>
    <definedName name="Cut_80_150">#REF!</definedName>
    <definedName name="Cut_80_175">#REF!</definedName>
    <definedName name="Cut_80_90">#REF!</definedName>
    <definedName name="Cut_90_100">#REF!</definedName>
    <definedName name="Cut_IBP_15">#REF!</definedName>
    <definedName name="Delta" localSheetId="0">Assay!#REF!</definedName>
    <definedName name="Delta">#REF!</definedName>
    <definedName name="Information_Section">#REF!</definedName>
    <definedName name="k0" localSheetId="0">Assay!#REF!</definedName>
    <definedName name="k0">#REF!</definedName>
    <definedName name="_xlnm.Print_Area" localSheetId="0">Assay!$B$1:$R$61</definedName>
    <definedName name="TRANSFERT" localSheetId="0">Assay!$B$1:$R$61</definedName>
    <definedName name="TRANSFERT">#REF!</definedName>
    <definedName name="VARA" localSheetId="0">Assay!#REF!</definedName>
    <definedName name="VARA">#REF!</definedName>
    <definedName name="VARB" localSheetId="0">Assay!#REF!</definedName>
    <definedName name="VARB">#REF!</definedName>
    <definedName name="Whole_Crude">#REF!</definedName>
  </definedNames>
  <calcPr calcId="162913" calcMode="manual" calcCompleted="0" calcOnSave="0" concurrentCalc="0"/>
  <extLst>
    <ext xmlns:x14="http://schemas.microsoft.com/office/spreadsheetml/2009/9/main" uri="{79F54976-1DA5-4618-B147-4CDE4B953A38}">
      <x14:workbookPr defaultImageDpi="330"/>
    </ext>
  </extLst>
</workbook>
</file>

<file path=xl/calcChain.xml><?xml version="1.0" encoding="utf-8"?>
<calcChain xmlns="http://schemas.openxmlformats.org/spreadsheetml/2006/main">
  <c r="E16" i="6" l="1"/>
  <c r="R61" i="6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R6" i="6"/>
  <c r="R7" i="6"/>
  <c r="R8" i="6"/>
  <c r="R9" i="6"/>
  <c r="R10" i="6"/>
  <c r="R11" i="6"/>
  <c r="R12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Q6" i="6"/>
  <c r="Q7" i="6"/>
  <c r="Q8" i="6"/>
  <c r="Q9" i="6"/>
  <c r="Q10" i="6"/>
  <c r="Q11" i="6"/>
  <c r="Q12" i="6"/>
  <c r="E24" i="6"/>
  <c r="E23" i="6"/>
  <c r="E22" i="6"/>
  <c r="J21" i="6"/>
  <c r="I21" i="6"/>
  <c r="E21" i="6"/>
  <c r="J20" i="6"/>
  <c r="I20" i="6"/>
  <c r="E20" i="6"/>
  <c r="J19" i="6"/>
  <c r="I19" i="6"/>
  <c r="E19" i="6"/>
  <c r="J18" i="6"/>
  <c r="I18" i="6"/>
  <c r="E18" i="6"/>
  <c r="E17" i="6"/>
  <c r="E15" i="6"/>
  <c r="E14" i="6"/>
  <c r="E5" i="6"/>
  <c r="E13" i="6"/>
  <c r="E12" i="6"/>
  <c r="E11" i="6"/>
  <c r="E10" i="6"/>
  <c r="E9" i="6"/>
  <c r="E8" i="6"/>
  <c r="E6" i="6"/>
  <c r="I5" i="6"/>
  <c r="H3" i="6"/>
  <c r="H2" i="6"/>
  <c r="L41" i="6"/>
  <c r="L54" i="6"/>
  <c r="E43" i="6"/>
  <c r="Q52" i="6"/>
  <c r="K48" i="6"/>
  <c r="I57" i="6"/>
  <c r="F46" i="6"/>
  <c r="L52" i="6"/>
  <c r="G57" i="6"/>
  <c r="E59" i="6"/>
  <c r="I48" i="6"/>
  <c r="G52" i="6"/>
  <c r="G58" i="6"/>
  <c r="F54" i="6"/>
  <c r="Q51" i="6"/>
  <c r="L48" i="6"/>
  <c r="H32" i="6"/>
  <c r="H43" i="6"/>
  <c r="H33" i="6"/>
  <c r="O54" i="6"/>
  <c r="I59" i="6"/>
  <c r="G53" i="6"/>
  <c r="D42" i="6"/>
  <c r="P58" i="6"/>
  <c r="Q60" i="6"/>
  <c r="D51" i="6"/>
  <c r="D32" i="6"/>
  <c r="R54" i="6"/>
  <c r="K54" i="6"/>
  <c r="N42" i="6"/>
  <c r="O57" i="6"/>
  <c r="K59" i="6"/>
  <c r="E48" i="6"/>
  <c r="N53" i="6"/>
  <c r="K43" i="6"/>
  <c r="L59" i="6"/>
  <c r="D47" i="6"/>
  <c r="M52" i="6"/>
  <c r="O51" i="6"/>
  <c r="J42" i="6"/>
  <c r="L42" i="6"/>
  <c r="E52" i="6"/>
  <c r="E37" i="6"/>
  <c r="I46" i="6"/>
  <c r="J52" i="6"/>
  <c r="O60" i="6"/>
  <c r="F41" i="6"/>
  <c r="E57" i="6"/>
  <c r="P48" i="6"/>
  <c r="L47" i="6"/>
  <c r="F59" i="6"/>
  <c r="N57" i="6"/>
  <c r="E41" i="6"/>
  <c r="I33" i="6"/>
  <c r="M32" i="6"/>
  <c r="F37" i="6"/>
  <c r="F38" i="6"/>
  <c r="G33" i="6"/>
  <c r="O59" i="6"/>
  <c r="G46" i="6"/>
  <c r="I32" i="6"/>
  <c r="O42" i="6"/>
  <c r="P59" i="6"/>
  <c r="P53" i="6"/>
  <c r="K42" i="6"/>
  <c r="G36" i="6"/>
  <c r="R53" i="6"/>
  <c r="G47" i="6"/>
  <c r="I52" i="6"/>
  <c r="R58" i="6"/>
  <c r="F60" i="6"/>
  <c r="I53" i="6"/>
  <c r="L51" i="6"/>
  <c r="R41" i="6"/>
  <c r="O48" i="6"/>
  <c r="I43" i="6"/>
  <c r="L43" i="6"/>
  <c r="D46" i="6"/>
  <c r="N43" i="6"/>
  <c r="F48" i="6"/>
  <c r="K46" i="6"/>
  <c r="J33" i="6"/>
  <c r="G41" i="6"/>
  <c r="G42" i="6"/>
  <c r="J58" i="6"/>
  <c r="D48" i="6"/>
  <c r="M38" i="6"/>
  <c r="N59" i="6"/>
  <c r="K52" i="6"/>
  <c r="G59" i="6"/>
  <c r="F36" i="6"/>
  <c r="H58" i="6"/>
  <c r="J59" i="6"/>
  <c r="H36" i="6"/>
  <c r="H54" i="6"/>
  <c r="E54" i="6"/>
  <c r="O47" i="6"/>
  <c r="E58" i="6"/>
  <c r="R47" i="6"/>
  <c r="N33" i="6"/>
  <c r="H51" i="6"/>
  <c r="N48" i="6"/>
  <c r="D52" i="6"/>
  <c r="N36" i="6"/>
  <c r="M37" i="6"/>
  <c r="N46" i="6"/>
  <c r="F58" i="6"/>
  <c r="H52" i="6"/>
  <c r="E38" i="6"/>
  <c r="J43" i="6"/>
  <c r="P46" i="6"/>
  <c r="R52" i="6"/>
  <c r="D43" i="6"/>
  <c r="E60" i="6"/>
  <c r="F32" i="6"/>
  <c r="N47" i="6"/>
  <c r="E47" i="6"/>
  <c r="P52" i="6"/>
  <c r="Q54" i="6"/>
  <c r="D41" i="6"/>
  <c r="R46" i="6"/>
  <c r="L58" i="6"/>
  <c r="P57" i="6"/>
  <c r="E36" i="6"/>
  <c r="M54" i="6"/>
  <c r="L46" i="6"/>
  <c r="G43" i="6"/>
  <c r="H53" i="6"/>
  <c r="K53" i="6"/>
  <c r="N41" i="6"/>
  <c r="I58" i="6"/>
  <c r="R48" i="6"/>
  <c r="F33" i="6"/>
  <c r="R57" i="6"/>
  <c r="H37" i="6"/>
  <c r="O53" i="6"/>
  <c r="D58" i="6"/>
  <c r="N38" i="6"/>
  <c r="L57" i="6"/>
  <c r="L60" i="6"/>
  <c r="F57" i="6"/>
  <c r="I51" i="6"/>
  <c r="F42" i="6"/>
  <c r="L53" i="6"/>
  <c r="J53" i="6"/>
  <c r="I42" i="6"/>
  <c r="G38" i="6"/>
  <c r="D36" i="6"/>
  <c r="R60" i="6"/>
  <c r="I47" i="6"/>
  <c r="E51" i="6"/>
  <c r="N60" i="6"/>
  <c r="M33" i="6"/>
  <c r="J60" i="6"/>
  <c r="P54" i="6"/>
  <c r="O46" i="6"/>
  <c r="D38" i="6"/>
  <c r="E42" i="6"/>
  <c r="D54" i="6"/>
  <c r="F47" i="6"/>
  <c r="G48" i="6"/>
  <c r="E33" i="6"/>
  <c r="D59" i="6"/>
  <c r="E46" i="6"/>
  <c r="R59" i="6"/>
  <c r="N58" i="6"/>
  <c r="Q46" i="6"/>
  <c r="I41" i="6"/>
  <c r="O52" i="6"/>
  <c r="Q47" i="6"/>
  <c r="Q59" i="6"/>
  <c r="G37" i="6"/>
  <c r="F51" i="6"/>
  <c r="K51" i="6"/>
  <c r="F43" i="6"/>
  <c r="G32" i="6"/>
  <c r="R43" i="6"/>
  <c r="M36" i="6"/>
  <c r="P51" i="6"/>
  <c r="O32" i="6"/>
  <c r="D60" i="6"/>
  <c r="N54" i="6"/>
  <c r="O58" i="6"/>
  <c r="H57" i="6"/>
  <c r="O43" i="6"/>
  <c r="R42" i="6"/>
  <c r="Q58" i="6"/>
  <c r="E32" i="6"/>
  <c r="Q48" i="6"/>
  <c r="F52" i="6"/>
  <c r="K60" i="6"/>
  <c r="N51" i="6"/>
  <c r="K57" i="6"/>
  <c r="P47" i="6"/>
  <c r="J54" i="6"/>
  <c r="J57" i="6"/>
  <c r="O33" i="6"/>
  <c r="N52" i="6"/>
  <c r="E53" i="6"/>
  <c r="I60" i="6"/>
  <c r="I54" i="6"/>
  <c r="O41" i="6"/>
  <c r="R51" i="6"/>
  <c r="N32" i="6"/>
  <c r="H41" i="6"/>
  <c r="D33" i="6"/>
  <c r="D37" i="6"/>
  <c r="K47" i="6"/>
  <c r="H60" i="6"/>
  <c r="J41" i="6"/>
  <c r="H59" i="6"/>
  <c r="M51" i="6"/>
  <c r="N37" i="6"/>
  <c r="G51" i="6"/>
  <c r="P60" i="6"/>
  <c r="K58" i="6"/>
  <c r="G60" i="6"/>
  <c r="J51" i="6"/>
  <c r="Q53" i="6"/>
  <c r="H38" i="6"/>
  <c r="F53" i="6"/>
  <c r="J32" i="6"/>
  <c r="D57" i="6"/>
  <c r="H42" i="6"/>
  <c r="D53" i="6"/>
  <c r="K41" i="6"/>
  <c r="G54" i="6"/>
  <c r="M53" i="6"/>
  <c r="E7" i="6"/>
  <c r="M47" i="6"/>
  <c r="M46" i="6"/>
  <c r="M48" i="6"/>
</calcChain>
</file>

<file path=xl/sharedStrings.xml><?xml version="1.0" encoding="utf-8"?>
<sst xmlns="http://schemas.openxmlformats.org/spreadsheetml/2006/main" count="222" uniqueCount="108">
  <si>
    <t>Crude</t>
  </si>
  <si>
    <t>TBP</t>
  </si>
  <si>
    <t>Country</t>
  </si>
  <si>
    <t>DISTILLATION</t>
  </si>
  <si>
    <t>°C</t>
  </si>
  <si>
    <t>wt%</t>
  </si>
  <si>
    <t>vol%</t>
  </si>
  <si>
    <t>Assay Date</t>
  </si>
  <si>
    <t xml:space="preserve"> °API</t>
  </si>
  <si>
    <t xml:space="preserve"> Bbl/mt</t>
  </si>
  <si>
    <t xml:space="preserve"> Viscosity, cSt at </t>
  </si>
  <si>
    <t>10 °C</t>
  </si>
  <si>
    <t>50 °C</t>
  </si>
  <si>
    <t xml:space="preserve"> Pour Point, °C</t>
  </si>
  <si>
    <t xml:space="preserve"> RVP at 37.8 °C, kPa</t>
  </si>
  <si>
    <t>Ethane</t>
  </si>
  <si>
    <t xml:space="preserve"> Mercaptan Sulphur, mg/kg</t>
  </si>
  <si>
    <t>Propane</t>
  </si>
  <si>
    <t>Iso-Butane</t>
  </si>
  <si>
    <t xml:space="preserve"> Acidity, mg KOH/g</t>
  </si>
  <si>
    <t>n-Butane</t>
  </si>
  <si>
    <t>PROPERTIES OF TBP CUTS</t>
  </si>
  <si>
    <t>Cuts</t>
  </si>
  <si>
    <t>Yield</t>
  </si>
  <si>
    <t>Den 15°C</t>
  </si>
  <si>
    <t>S</t>
  </si>
  <si>
    <t>RSH</t>
  </si>
  <si>
    <t>RON</t>
  </si>
  <si>
    <t>MON</t>
  </si>
  <si>
    <t>RVP</t>
  </si>
  <si>
    <t>LIGHT</t>
  </si>
  <si>
    <t>vol %</t>
  </si>
  <si>
    <t>mg/kg</t>
  </si>
  <si>
    <t>clear</t>
  </si>
  <si>
    <t>kPa</t>
  </si>
  <si>
    <t>NAPHTHA</t>
  </si>
  <si>
    <t>15-65</t>
  </si>
  <si>
    <t>15-80</t>
  </si>
  <si>
    <t>Aro.</t>
  </si>
  <si>
    <t>HEAVY</t>
  </si>
  <si>
    <t>80-150</t>
  </si>
  <si>
    <t>80-175</t>
  </si>
  <si>
    <t>100-150</t>
  </si>
  <si>
    <t>Smoke</t>
  </si>
  <si>
    <t>Acidity</t>
  </si>
  <si>
    <t>Cetane</t>
  </si>
  <si>
    <t>Visc cSt</t>
  </si>
  <si>
    <t>Flash</t>
  </si>
  <si>
    <t>KEROSENE</t>
  </si>
  <si>
    <t>Point</t>
  </si>
  <si>
    <t>50°C</t>
  </si>
  <si>
    <t>150-230</t>
  </si>
  <si>
    <t>175-230</t>
  </si>
  <si>
    <t>150-250</t>
  </si>
  <si>
    <t>Anilin</t>
  </si>
  <si>
    <t>Cloud Pt</t>
  </si>
  <si>
    <t>CFPP</t>
  </si>
  <si>
    <t>Pour Pt</t>
  </si>
  <si>
    <t>GASOIL</t>
  </si>
  <si>
    <t>Point °C</t>
  </si>
  <si>
    <t>C</t>
  </si>
  <si>
    <t>100°C</t>
  </si>
  <si>
    <t>175-400</t>
  </si>
  <si>
    <t>230-400</t>
  </si>
  <si>
    <t>230-375</t>
  </si>
  <si>
    <t>Conrad.</t>
  </si>
  <si>
    <t>Ni</t>
  </si>
  <si>
    <t>Total N</t>
  </si>
  <si>
    <t>Bas N</t>
  </si>
  <si>
    <t>Asp C7</t>
  </si>
  <si>
    <t>VACUUM</t>
  </si>
  <si>
    <t>150°C</t>
  </si>
  <si>
    <t>wt %</t>
  </si>
  <si>
    <t>DISTILLATE</t>
  </si>
  <si>
    <t>375-550</t>
  </si>
  <si>
    <t>375-565</t>
  </si>
  <si>
    <t>375-580</t>
  </si>
  <si>
    <t>400-580</t>
  </si>
  <si>
    <t>Pene</t>
  </si>
  <si>
    <t>RESIDUE</t>
  </si>
  <si>
    <t>&gt; 375</t>
  </si>
  <si>
    <t>&gt; 550</t>
  </si>
  <si>
    <t>&gt; 565</t>
  </si>
  <si>
    <t>&gt; 580</t>
  </si>
  <si>
    <t xml:space="preserve"> Nickel, mg/kg</t>
  </si>
  <si>
    <t xml:space="preserve"> Vanadium, mg/kg</t>
  </si>
  <si>
    <t xml:space="preserve"> Density at 15°C, kg/m3</t>
  </si>
  <si>
    <t xml:space="preserve"> Hydrogen Sulphide, mg/kg</t>
  </si>
  <si>
    <t>kg/m3</t>
  </si>
  <si>
    <t>TOTAL DTS / AM</t>
  </si>
  <si>
    <t xml:space="preserve"> Iron, mg/kg</t>
  </si>
  <si>
    <t>Va</t>
  </si>
  <si>
    <t xml:space="preserve"> Mercury, μg/kg</t>
  </si>
  <si>
    <t>UOPK</t>
  </si>
  <si>
    <t xml:space="preserve"> Wax, wt%</t>
  </si>
  <si>
    <t xml:space="preserve"> Wax Appearance Temperature, °C</t>
  </si>
  <si>
    <t xml:space="preserve"> Water, vol%</t>
  </si>
  <si>
    <t xml:space="preserve"> NaCl, mg/kg</t>
  </si>
  <si>
    <t>Napht.</t>
  </si>
  <si>
    <t>Freez. Pt</t>
  </si>
  <si>
    <t>Index</t>
  </si>
  <si>
    <t>mm/10</t>
  </si>
  <si>
    <t>mgKOH/g</t>
  </si>
  <si>
    <t>This crude oil data sheet is for information purposes only. No guaranty is given as to its accuracy or as to any consequences arising from its use.</t>
  </si>
  <si>
    <t xml:space="preserve"> Sulphur, wt%</t>
  </si>
  <si>
    <t xml:space="preserve"> Total Nitrogen, wt%</t>
  </si>
  <si>
    <t>Pt mm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</si>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</sst>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00"/>
    <numFmt numFmtId="165" formatCode="0.0000"/>
    <numFmt numFmtId="166" formatCode="0.000"/>
    <numFmt numFmtId="167" formatCode="0.0"/>
    <numFmt numFmtId="168" formatCode="#,##0.0;[Red]\-#,##0.0"/>
  </numFmts>
  <fonts count="14" x14ac:knownFonts="1">
    <font>
      <sz val="10"/>
      <name val="MS Sans Serif"/>
    </font>
    <font>
      <sz val="10"/>
      <name val="MS Sans Serif"/>
      <family val="2"/>
    </font>
    <font>
      <sz val="7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b/>
      <sz val="5"/>
      <name val="Arial"/>
      <family val="2"/>
    </font>
    <font>
      <sz val="6.5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146">
    <xf numFmtId="0" fontId="0" fillId="0" borderId="0" xfId="0"/>
    <xf numFmtId="0" fontId="2" fillId="0" borderId="1" xfId="0" quotePrefix="1" applyFont="1" applyFill="1" applyBorder="1" applyAlignment="1">
      <alignment horizontal="left"/>
    </xf>
    <xf numFmtId="0" fontId="10" fillId="0" borderId="2" xfId="0" applyFont="1" applyFill="1" applyBorder="1" applyAlignment="1">
      <alignment horizontal="center"/>
    </xf>
    <xf numFmtId="1" fontId="10" fillId="0" borderId="2" xfId="0" applyNumberFormat="1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167" fontId="2" fillId="0" borderId="4" xfId="0" applyNumberFormat="1" applyFont="1" applyFill="1" applyBorder="1" applyAlignment="1">
      <alignment horizontal="center"/>
    </xf>
    <xf numFmtId="0" fontId="6" fillId="0" borderId="0" xfId="0" applyFont="1" applyFill="1" applyBorder="1"/>
    <xf numFmtId="0" fontId="7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6" fillId="0" borderId="0" xfId="0" applyFont="1" applyFill="1"/>
    <xf numFmtId="0" fontId="10" fillId="0" borderId="0" xfId="0" applyFont="1" applyFill="1"/>
    <xf numFmtId="0" fontId="6" fillId="0" borderId="0" xfId="0" applyFont="1" applyFill="1" applyBorder="1" applyAlignment="1"/>
    <xf numFmtId="0" fontId="6" fillId="0" borderId="0" xfId="0" applyFont="1" applyFill="1" applyAlignment="1"/>
    <xf numFmtId="0" fontId="10" fillId="0" borderId="0" xfId="0" applyFont="1" applyFill="1" applyAlignment="1"/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6" fillId="0" borderId="5" xfId="0" applyFont="1" applyFill="1" applyBorder="1"/>
    <xf numFmtId="0" fontId="7" fillId="0" borderId="6" xfId="0" applyFont="1" applyFill="1" applyBorder="1"/>
    <xf numFmtId="0" fontId="2" fillId="0" borderId="7" xfId="0" applyNumberFormat="1" applyFont="1" applyFill="1" applyBorder="1" applyAlignment="1">
      <alignment horizontal="center"/>
    </xf>
    <xf numFmtId="0" fontId="6" fillId="0" borderId="1" xfId="0" applyFont="1" applyFill="1" applyBorder="1"/>
    <xf numFmtId="0" fontId="8" fillId="0" borderId="0" xfId="0" applyFont="1" applyFill="1" applyBorder="1" applyAlignment="1">
      <alignment horizontal="centerContinuous"/>
    </xf>
    <xf numFmtId="0" fontId="7" fillId="0" borderId="8" xfId="0" applyFont="1" applyFill="1" applyBorder="1" applyAlignment="1">
      <alignment horizontal="center"/>
    </xf>
    <xf numFmtId="0" fontId="2" fillId="0" borderId="0" xfId="0" applyFont="1" applyFill="1" applyBorder="1"/>
    <xf numFmtId="0" fontId="9" fillId="0" borderId="1" xfId="0" applyFont="1" applyFill="1" applyBorder="1"/>
    <xf numFmtId="0" fontId="2" fillId="0" borderId="1" xfId="0" applyFont="1" applyFill="1" applyBorder="1" applyAlignment="1">
      <alignment horizontal="center"/>
    </xf>
    <xf numFmtId="2" fontId="2" fillId="0" borderId="4" xfId="0" applyNumberFormat="1" applyFont="1" applyFill="1" applyBorder="1" applyAlignment="1">
      <alignment horizontal="center"/>
    </xf>
    <xf numFmtId="0" fontId="2" fillId="0" borderId="0" xfId="0" applyFont="1" applyFill="1" applyBorder="1" applyAlignment="1"/>
    <xf numFmtId="14" fontId="2" fillId="0" borderId="0" xfId="0" applyNumberFormat="1" applyFont="1" applyFill="1" applyBorder="1" applyAlignment="1">
      <alignment horizontal="centerContinuous"/>
    </xf>
    <xf numFmtId="0" fontId="2" fillId="0" borderId="0" xfId="0" applyFont="1" applyFill="1" applyBorder="1" applyAlignment="1">
      <alignment horizontal="centerContinuous"/>
    </xf>
    <xf numFmtId="164" fontId="2" fillId="0" borderId="9" xfId="0" applyNumberFormat="1" applyFont="1" applyFill="1" applyBorder="1" applyAlignment="1">
      <alignment horizontal="center" vertical="center"/>
    </xf>
    <xf numFmtId="0" fontId="2" fillId="0" borderId="1" xfId="0" quotePrefix="1" applyFont="1" applyFill="1" applyBorder="1" applyAlignment="1" applyProtection="1">
      <alignment horizontal="left"/>
    </xf>
    <xf numFmtId="0" fontId="7" fillId="0" borderId="1" xfId="0" applyFont="1" applyFill="1" applyBorder="1" applyAlignment="1">
      <alignment horizontal="left"/>
    </xf>
    <xf numFmtId="0" fontId="2" fillId="0" borderId="0" xfId="0" quotePrefix="1" applyFont="1" applyFill="1" applyBorder="1" applyAlignment="1">
      <alignment horizontal="left"/>
    </xf>
    <xf numFmtId="0" fontId="7" fillId="0" borderId="1" xfId="0" applyFont="1" applyFill="1" applyBorder="1" applyAlignment="1"/>
    <xf numFmtId="0" fontId="7" fillId="0" borderId="0" xfId="0" applyFont="1" applyFill="1" applyBorder="1" applyAlignment="1">
      <alignment horizontal="centerContinuous"/>
    </xf>
    <xf numFmtId="14" fontId="7" fillId="0" borderId="0" xfId="0" applyNumberFormat="1" applyFont="1" applyFill="1" applyBorder="1" applyAlignment="1">
      <alignment horizontal="centerContinuous"/>
    </xf>
    <xf numFmtId="0" fontId="2" fillId="0" borderId="0" xfId="0" applyNumberFormat="1" applyFont="1" applyFill="1" applyBorder="1" applyAlignment="1">
      <alignment horizontal="centerContinuous"/>
    </xf>
    <xf numFmtId="0" fontId="7" fillId="0" borderId="1" xfId="0" applyFont="1" applyFill="1" applyBorder="1"/>
    <xf numFmtId="0" fontId="2" fillId="0" borderId="0" xfId="0" applyNumberFormat="1" applyFont="1" applyFill="1" applyBorder="1"/>
    <xf numFmtId="0" fontId="7" fillId="0" borderId="10" xfId="0" applyFont="1" applyFill="1" applyBorder="1"/>
    <xf numFmtId="0" fontId="7" fillId="0" borderId="11" xfId="0" applyFont="1" applyFill="1" applyBorder="1"/>
    <xf numFmtId="0" fontId="2" fillId="0" borderId="1" xfId="0" applyFont="1" applyFill="1" applyBorder="1"/>
    <xf numFmtId="0" fontId="7" fillId="0" borderId="5" xfId="0" applyFont="1" applyFill="1" applyBorder="1"/>
    <xf numFmtId="164" fontId="9" fillId="0" borderId="9" xfId="0" applyNumberFormat="1" applyFont="1" applyFill="1" applyBorder="1" applyAlignment="1">
      <alignment horizontal="center" vertical="center"/>
    </xf>
    <xf numFmtId="2" fontId="8" fillId="0" borderId="9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Continuous"/>
    </xf>
    <xf numFmtId="0" fontId="2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66" fontId="2" fillId="0" borderId="0" xfId="0" applyNumberFormat="1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Continuous"/>
    </xf>
    <xf numFmtId="2" fontId="2" fillId="0" borderId="0" xfId="0" applyNumberFormat="1" applyFont="1" applyFill="1" applyBorder="1" applyAlignment="1" applyProtection="1">
      <alignment horizontal="center"/>
      <protection hidden="1"/>
    </xf>
    <xf numFmtId="2" fontId="8" fillId="0" borderId="0" xfId="0" applyNumberFormat="1" applyFont="1" applyFill="1" applyBorder="1" applyAlignment="1">
      <alignment horizontal="center"/>
    </xf>
    <xf numFmtId="4" fontId="2" fillId="0" borderId="1" xfId="0" quotePrefix="1" applyNumberFormat="1" applyFont="1" applyFill="1" applyBorder="1" applyAlignment="1">
      <alignment horizontal="left"/>
    </xf>
    <xf numFmtId="2" fontId="2" fillId="0" borderId="0" xfId="0" applyNumberFormat="1" applyFont="1" applyFill="1" applyBorder="1"/>
    <xf numFmtId="2" fontId="8" fillId="0" borderId="0" xfId="0" applyNumberFormat="1" applyFont="1" applyFill="1" applyBorder="1"/>
    <xf numFmtId="0" fontId="2" fillId="0" borderId="1" xfId="0" applyFont="1" applyFill="1" applyBorder="1" applyAlignment="1">
      <alignment horizontal="left"/>
    </xf>
    <xf numFmtId="0" fontId="8" fillId="0" borderId="0" xfId="0" applyFont="1" applyFill="1" applyBorder="1"/>
    <xf numFmtId="0" fontId="9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Continuous"/>
    </xf>
    <xf numFmtId="0" fontId="8" fillId="0" borderId="11" xfId="0" applyFont="1" applyFill="1" applyBorder="1" applyAlignment="1">
      <alignment horizontal="centerContinuous"/>
    </xf>
    <xf numFmtId="0" fontId="8" fillId="0" borderId="11" xfId="0" applyFont="1" applyFill="1" applyBorder="1"/>
    <xf numFmtId="164" fontId="2" fillId="0" borderId="13" xfId="0" applyNumberFormat="1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2" fontId="8" fillId="0" borderId="13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/>
    </xf>
    <xf numFmtId="0" fontId="7" fillId="0" borderId="0" xfId="0" applyFont="1" applyFill="1"/>
    <xf numFmtId="0" fontId="10" fillId="0" borderId="5" xfId="0" applyFont="1" applyFill="1" applyBorder="1"/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Continuous"/>
    </xf>
    <xf numFmtId="0" fontId="4" fillId="0" borderId="0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centerContinuous"/>
    </xf>
    <xf numFmtId="0" fontId="3" fillId="0" borderId="1" xfId="0" applyFont="1" applyFill="1" applyBorder="1" applyAlignment="1">
      <alignment horizontal="centerContinuous"/>
    </xf>
    <xf numFmtId="0" fontId="11" fillId="0" borderId="0" xfId="0" applyFont="1" applyFill="1" applyBorder="1" applyAlignment="1">
      <alignment horizontal="centerContinuous"/>
    </xf>
    <xf numFmtId="0" fontId="11" fillId="0" borderId="4" xfId="0" applyFont="1" applyFill="1" applyBorder="1" applyAlignment="1">
      <alignment horizontal="centerContinuous"/>
    </xf>
    <xf numFmtId="0" fontId="10" fillId="0" borderId="5" xfId="0" applyFont="1" applyFill="1" applyBorder="1" applyAlignment="1">
      <alignment horizontal="center"/>
    </xf>
    <xf numFmtId="0" fontId="10" fillId="0" borderId="14" xfId="0" applyFont="1" applyFill="1" applyBorder="1" applyAlignment="1">
      <alignment horizontal="center"/>
    </xf>
    <xf numFmtId="0" fontId="10" fillId="0" borderId="15" xfId="0" applyFont="1" applyFill="1" applyBorder="1" applyAlignment="1">
      <alignment horizontal="center"/>
    </xf>
    <xf numFmtId="0" fontId="10" fillId="0" borderId="16" xfId="0" applyFont="1" applyFill="1" applyBorder="1" applyAlignment="1">
      <alignment horizontal="center"/>
    </xf>
    <xf numFmtId="2" fontId="10" fillId="0" borderId="16" xfId="0" applyNumberFormat="1" applyFont="1" applyFill="1" applyBorder="1" applyAlignment="1">
      <alignment horizontal="center"/>
    </xf>
    <xf numFmtId="1" fontId="10" fillId="0" borderId="16" xfId="0" applyNumberFormat="1" applyFont="1" applyFill="1" applyBorder="1" applyAlignment="1">
      <alignment horizontal="center"/>
    </xf>
    <xf numFmtId="167" fontId="10" fillId="0" borderId="16" xfId="0" applyNumberFormat="1" applyFont="1" applyFill="1" applyBorder="1" applyAlignment="1">
      <alignment horizontal="center"/>
    </xf>
    <xf numFmtId="167" fontId="10" fillId="0" borderId="17" xfId="0" applyNumberFormat="1" applyFont="1" applyFill="1" applyBorder="1" applyAlignment="1">
      <alignment horizontal="center"/>
    </xf>
    <xf numFmtId="0" fontId="10" fillId="0" borderId="10" xfId="0" applyFont="1" applyFill="1" applyBorder="1" applyAlignment="1">
      <alignment horizontal="center"/>
    </xf>
    <xf numFmtId="0" fontId="10" fillId="0" borderId="18" xfId="0" applyFont="1" applyFill="1" applyBorder="1" applyAlignment="1">
      <alignment horizontal="center"/>
    </xf>
    <xf numFmtId="167" fontId="10" fillId="0" borderId="18" xfId="0" applyNumberFormat="1" applyFont="1" applyFill="1" applyBorder="1" applyAlignment="1">
      <alignment horizontal="center"/>
    </xf>
    <xf numFmtId="167" fontId="10" fillId="0" borderId="19" xfId="0" applyNumberFormat="1" applyFont="1" applyFill="1" applyBorder="1" applyAlignment="1">
      <alignment horizontal="center"/>
    </xf>
    <xf numFmtId="2" fontId="10" fillId="0" borderId="2" xfId="0" applyNumberFormat="1" applyFont="1" applyFill="1" applyBorder="1" applyAlignment="1">
      <alignment horizontal="center"/>
    </xf>
    <xf numFmtId="165" fontId="10" fillId="0" borderId="2" xfId="0" applyNumberFormat="1" applyFont="1" applyFill="1" applyBorder="1" applyAlignment="1">
      <alignment horizontal="center"/>
    </xf>
    <xf numFmtId="167" fontId="10" fillId="0" borderId="2" xfId="0" applyNumberFormat="1" applyFont="1" applyFill="1" applyBorder="1" applyAlignment="1">
      <alignment horizontal="center"/>
    </xf>
    <xf numFmtId="167" fontId="10" fillId="0" borderId="3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166" fontId="10" fillId="0" borderId="16" xfId="0" applyNumberFormat="1" applyFont="1" applyFill="1" applyBorder="1" applyAlignment="1">
      <alignment horizontal="center"/>
    </xf>
    <xf numFmtId="0" fontId="12" fillId="0" borderId="0" xfId="0" applyFont="1" applyFill="1"/>
    <xf numFmtId="2" fontId="10" fillId="0" borderId="18" xfId="0" applyNumberFormat="1" applyFont="1" applyFill="1" applyBorder="1" applyAlignment="1">
      <alignment horizontal="center"/>
    </xf>
    <xf numFmtId="1" fontId="10" fillId="0" borderId="18" xfId="0" applyNumberFormat="1" applyFont="1" applyFill="1" applyBorder="1" applyAlignment="1">
      <alignment horizontal="center"/>
    </xf>
    <xf numFmtId="166" fontId="10" fillId="0" borderId="2" xfId="0" applyNumberFormat="1" applyFont="1" applyFill="1" applyBorder="1" applyAlignment="1">
      <alignment horizontal="center"/>
    </xf>
    <xf numFmtId="168" fontId="10" fillId="0" borderId="16" xfId="1" applyNumberFormat="1" applyFont="1" applyFill="1" applyBorder="1" applyAlignment="1">
      <alignment horizontal="center"/>
    </xf>
    <xf numFmtId="0" fontId="10" fillId="0" borderId="2" xfId="0" applyNumberFormat="1" applyFont="1" applyFill="1" applyBorder="1" applyAlignment="1">
      <alignment horizontal="center"/>
    </xf>
    <xf numFmtId="166" fontId="10" fillId="0" borderId="18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left"/>
    </xf>
    <xf numFmtId="17" fontId="7" fillId="0" borderId="0" xfId="0" applyNumberFormat="1" applyFont="1" applyFill="1" applyAlignment="1">
      <alignment horizontal="center"/>
    </xf>
    <xf numFmtId="166" fontId="2" fillId="0" borderId="4" xfId="0" applyNumberFormat="1" applyFont="1" applyFill="1" applyBorder="1" applyAlignment="1">
      <alignment horizontal="center"/>
    </xf>
    <xf numFmtId="1" fontId="2" fillId="0" borderId="4" xfId="0" applyNumberFormat="1" applyFont="1" applyFill="1" applyBorder="1" applyAlignment="1">
      <alignment horizontal="center"/>
    </xf>
    <xf numFmtId="2" fontId="10" fillId="0" borderId="14" xfId="0" applyNumberFormat="1" applyFont="1" applyFill="1" applyBorder="1" applyAlignment="1">
      <alignment horizontal="center"/>
    </xf>
    <xf numFmtId="1" fontId="10" fillId="0" borderId="14" xfId="0" applyNumberFormat="1" applyFont="1" applyFill="1" applyBorder="1" applyAlignment="1">
      <alignment horizontal="center"/>
    </xf>
    <xf numFmtId="167" fontId="10" fillId="0" borderId="14" xfId="0" applyNumberFormat="1" applyFont="1" applyFill="1" applyBorder="1" applyAlignment="1">
      <alignment horizontal="center"/>
    </xf>
    <xf numFmtId="167" fontId="10" fillId="0" borderId="15" xfId="0" applyNumberFormat="1" applyFont="1" applyFill="1" applyBorder="1" applyAlignment="1">
      <alignment horizontal="center"/>
    </xf>
    <xf numFmtId="166" fontId="10" fillId="0" borderId="14" xfId="0" applyNumberFormat="1" applyFont="1" applyFill="1" applyBorder="1" applyAlignment="1">
      <alignment horizontal="center"/>
    </xf>
    <xf numFmtId="0" fontId="10" fillId="0" borderId="14" xfId="0" applyNumberFormat="1" applyFont="1" applyFill="1" applyBorder="1" applyAlignment="1">
      <alignment horizontal="center"/>
    </xf>
    <xf numFmtId="0" fontId="10" fillId="0" borderId="14" xfId="0" quotePrefix="1" applyFont="1" applyFill="1" applyBorder="1" applyAlignment="1">
      <alignment horizontal="center"/>
    </xf>
    <xf numFmtId="2" fontId="10" fillId="0" borderId="14" xfId="0" quotePrefix="1" applyNumberFormat="1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167" fontId="2" fillId="0" borderId="9" xfId="0" applyNumberFormat="1" applyFont="1" applyFill="1" applyBorder="1" applyAlignment="1">
      <alignment horizontal="center" vertical="center"/>
    </xf>
    <xf numFmtId="167" fontId="2" fillId="0" borderId="13" xfId="0" applyNumberFormat="1" applyFont="1" applyFill="1" applyBorder="1" applyAlignment="1">
      <alignment horizontal="center" vertical="center"/>
    </xf>
    <xf numFmtId="167" fontId="2" fillId="0" borderId="0" xfId="0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15" fontId="2" fillId="0" borderId="0" xfId="0" applyNumberFormat="1" applyFont="1" applyFill="1" applyBorder="1" applyAlignment="1">
      <alignment horizontal="center"/>
    </xf>
    <xf numFmtId="15" fontId="2" fillId="0" borderId="4" xfId="0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 vertical="top"/>
    </xf>
    <xf numFmtId="0" fontId="5" fillId="0" borderId="11" xfId="0" applyFont="1" applyFill="1" applyBorder="1" applyAlignment="1">
      <alignment horizontal="center" vertical="top"/>
    </xf>
    <xf numFmtId="0" fontId="5" fillId="0" borderId="12" xfId="0" applyFont="1" applyFill="1" applyBorder="1" applyAlignment="1">
      <alignment horizontal="center" vertical="top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222250</xdr:colOff>
      <xdr:row>1</xdr:row>
      <xdr:rowOff>43657</xdr:rowOff>
    </xdr:from>
    <xdr:to>
      <xdr:col>4</xdr:col>
      <xdr:colOff>111012</xdr:colOff>
      <xdr:row>2</xdr:row>
      <xdr:rowOff>546396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344" y="130970"/>
          <a:ext cx="1357200" cy="10742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T61"/>
  <sheetViews>
    <sheetView showGridLines="0" tabSelected="1" zoomScale="120" zoomScaleNormal="120" zoomScalePageLayoutView="90" workbookViewId="0">
      <selection activeCell="H2" sqref="H2:L2"/>
    </sheetView>
  </sheetViews>
  <sheetFormatPr defaultColWidth="6.140625" defaultRowHeight="10.15" customHeight="1" x14ac:dyDescent="0.2"/>
  <cols>
    <col min="1" max="1" width="1.7109375" style="9" customWidth="1"/>
    <col min="2" max="2" width="11.42578125" style="9" customWidth="1"/>
    <col min="3" max="4" width="5.28515625" style="70" customWidth="1"/>
    <col min="5" max="5" width="5.28515625" style="105" customWidth="1"/>
    <col min="6" max="12" width="5.28515625" style="70" customWidth="1"/>
    <col min="13" max="18" width="5.28515625" style="105" customWidth="1"/>
    <col min="19" max="19" width="1.7109375" style="9" customWidth="1"/>
    <col min="20" max="20" width="6.140625" style="10" customWidth="1"/>
    <col min="21" max="16384" width="6.140625" style="9"/>
  </cols>
  <sheetData>
    <row r="1" spans="1:20" ht="6.75" customHeight="1" x14ac:dyDescent="0.2">
      <c r="A1" s="6"/>
      <c r="B1" s="6"/>
      <c r="C1" s="7"/>
      <c r="D1" s="7"/>
      <c r="E1" s="8"/>
      <c r="F1" s="7"/>
      <c r="G1" s="7"/>
      <c r="H1" s="7"/>
      <c r="I1" s="7"/>
      <c r="J1" s="7"/>
      <c r="K1" s="7"/>
      <c r="L1" s="7"/>
      <c r="M1" s="8"/>
      <c r="N1" s="8"/>
      <c r="O1" s="8"/>
      <c r="P1" s="8"/>
      <c r="Q1" s="8"/>
      <c r="R1" s="8"/>
    </row>
    <row r="2" spans="1:20" s="12" customFormat="1" ht="45" customHeight="1" x14ac:dyDescent="0.2">
      <c r="A2" s="11"/>
      <c r="B2" s="123"/>
      <c r="C2" s="124"/>
      <c r="D2" s="124"/>
      <c r="E2" s="125"/>
      <c r="F2" s="133" t="s">
        <v>0</v>
      </c>
      <c r="G2" s="134"/>
      <c r="H2" s="144" t="str">
        <f ca="1">+VLOOKUP("Name",Information_Section,2,FALSE)</f>
        <v>DUC</v>
      </c>
      <c r="I2" s="144"/>
      <c r="J2" s="144"/>
      <c r="K2" s="144"/>
      <c r="L2" s="145"/>
      <c r="M2" s="138" t="s">
        <v>1</v>
      </c>
      <c r="N2" s="139"/>
      <c r="O2" s="139"/>
      <c r="P2" s="139"/>
      <c r="Q2" s="139"/>
      <c r="R2" s="140"/>
      <c r="T2" s="13"/>
    </row>
    <row r="3" spans="1:20" s="15" customFormat="1" ht="45" customHeight="1" x14ac:dyDescent="0.2">
      <c r="A3" s="14"/>
      <c r="B3" s="126"/>
      <c r="C3" s="127"/>
      <c r="D3" s="127"/>
      <c r="E3" s="128"/>
      <c r="F3" s="135" t="s">
        <v>2</v>
      </c>
      <c r="G3" s="136"/>
      <c r="H3" s="136" t="str">
        <f ca="1">+VLOOKUP("Origin",Information_Section,2,FALSE)</f>
        <v>Denmark</v>
      </c>
      <c r="I3" s="136"/>
      <c r="J3" s="136"/>
      <c r="K3" s="136"/>
      <c r="L3" s="137"/>
      <c r="M3" s="141" t="s">
        <v>3</v>
      </c>
      <c r="N3" s="142"/>
      <c r="O3" s="142"/>
      <c r="P3" s="142"/>
      <c r="Q3" s="142"/>
      <c r="R3" s="143"/>
      <c r="T3" s="16"/>
    </row>
    <row r="4" spans="1:20" ht="11.1" customHeight="1" x14ac:dyDescent="0.2">
      <c r="A4" s="6"/>
      <c r="B4" s="17"/>
      <c r="C4" s="18"/>
      <c r="D4" s="18"/>
      <c r="E4" s="19"/>
      <c r="F4" s="20"/>
      <c r="G4" s="6"/>
      <c r="H4" s="6"/>
      <c r="I4" s="6"/>
      <c r="J4" s="6"/>
      <c r="K4" s="6"/>
      <c r="L4" s="21"/>
      <c r="M4" s="22"/>
      <c r="N4" s="22"/>
      <c r="O4" s="22"/>
      <c r="P4" s="22"/>
      <c r="Q4" s="22"/>
      <c r="R4" s="22"/>
    </row>
    <row r="5" spans="1:20" ht="11.1" customHeight="1" x14ac:dyDescent="0.2">
      <c r="A5" s="6"/>
      <c r="B5" s="1" t="s">
        <v>86</v>
      </c>
      <c r="C5" s="23"/>
      <c r="D5" s="23"/>
      <c r="E5" s="5">
        <f ca="1">+IF(VLOOKUP("Density at 15.0C (kg/m3)",Whole_Crude,2,FALSE)="","-",VLOOKUP("Density at 15.0C (kg/m3)",Whole_Crude,2,FALSE))</f>
        <v>855.98109999999997</v>
      </c>
      <c r="F5" s="24"/>
      <c r="G5" s="23" t="s">
        <v>7</v>
      </c>
      <c r="H5" s="23"/>
      <c r="I5" s="131">
        <f ca="1">+VLOOKUP(G5,Information_Section,2,FALSE)</f>
        <v>42158</v>
      </c>
      <c r="J5" s="131"/>
      <c r="K5" s="131"/>
      <c r="L5" s="132"/>
      <c r="M5" s="118" t="s">
        <v>4</v>
      </c>
      <c r="N5" s="118" t="s">
        <v>5</v>
      </c>
      <c r="O5" s="118" t="s">
        <v>6</v>
      </c>
      <c r="P5" s="118" t="s">
        <v>4</v>
      </c>
      <c r="Q5" s="118" t="s">
        <v>5</v>
      </c>
      <c r="R5" s="119" t="s">
        <v>6</v>
      </c>
    </row>
    <row r="6" spans="1:20" ht="11.1" customHeight="1" x14ac:dyDescent="0.2">
      <c r="A6" s="6"/>
      <c r="B6" s="1" t="s">
        <v>8</v>
      </c>
      <c r="C6" s="23"/>
      <c r="D6" s="23"/>
      <c r="E6" s="5">
        <f ca="1">+IF(VLOOKUP("API (none)",Whole_Crude,2,FALSE)="","-",VLOOKUP("API (none)",Whole_Crude,2,FALSE))</f>
        <v>33.700000000000003</v>
      </c>
      <c r="F6" s="20"/>
      <c r="G6" s="23"/>
      <c r="H6" s="27"/>
      <c r="I6" s="28"/>
      <c r="J6" s="23"/>
      <c r="K6" s="29"/>
      <c r="L6" s="29"/>
      <c r="M6" s="30">
        <v>80</v>
      </c>
      <c r="N6" s="120">
        <f ca="1">+VLOOKUP("Yield (% wgt)",Cut_IBP_15,2,FALSE)+VLOOKUP("Yield (% wgt)",Cut_15_80,2,FALSE)</f>
        <v>6.2430000000000003</v>
      </c>
      <c r="O6" s="120">
        <f ca="1">+VLOOKUP("Yield (% vol)",Cut_IBP_15,2,FALSE)+VLOOKUP("Yield (% vol)",Cut_15_80,2,FALSE)</f>
        <v>8.4480000000000004</v>
      </c>
      <c r="P6" s="30">
        <v>460</v>
      </c>
      <c r="Q6" s="120">
        <f ca="1">+VLOOKUP("Yield (% wgt)",Cut_440_460,2,FALSE)+N25</f>
        <v>73.37700000000001</v>
      </c>
      <c r="R6" s="120">
        <f ca="1">+VLOOKUP("Yield (% vol)",Cut_440_460,2,FALSE)+O25</f>
        <v>76.334000000000003</v>
      </c>
    </row>
    <row r="7" spans="1:20" ht="11.1" customHeight="1" x14ac:dyDescent="0.2">
      <c r="A7" s="6"/>
      <c r="B7" s="31" t="s">
        <v>9</v>
      </c>
      <c r="C7" s="23"/>
      <c r="D7" s="23"/>
      <c r="E7" s="108">
        <f ca="1">#REF!*1000/(_MV15*#REF!)</f>
        <v>7.3609990864505059</v>
      </c>
      <c r="F7" s="32"/>
      <c r="G7" s="33"/>
      <c r="H7" s="27"/>
      <c r="I7" s="131"/>
      <c r="J7" s="131"/>
      <c r="K7" s="131"/>
      <c r="L7" s="132"/>
      <c r="M7" s="30">
        <v>90</v>
      </c>
      <c r="N7" s="120">
        <f ca="1">+VLOOKUP("Yield (% wgt)",Cut_80_90,2,FALSE)+N6</f>
        <v>7.3620000000000001</v>
      </c>
      <c r="O7" s="120">
        <f ca="1">+VLOOKUP("Yield (% vol)",Cut_80_90,2,FALSE)+O6</f>
        <v>9.7750000000000004</v>
      </c>
      <c r="P7" s="30">
        <v>480</v>
      </c>
      <c r="Q7" s="120">
        <f ca="1">+VLOOKUP("Yield (% wgt)",Cut_460_480,2,FALSE)+Q6</f>
        <v>76.272000000000006</v>
      </c>
      <c r="R7" s="120">
        <f ca="1">+VLOOKUP("Yield (% vol)",Cut_460_480,2,FALSE)+R6</f>
        <v>79</v>
      </c>
    </row>
    <row r="8" spans="1:20" ht="11.1" customHeight="1" x14ac:dyDescent="0.2">
      <c r="A8" s="6"/>
      <c r="B8" s="1" t="s">
        <v>19</v>
      </c>
      <c r="C8" s="7"/>
      <c r="D8" s="7"/>
      <c r="E8" s="26">
        <f ca="1">+IF(VLOOKUP("Acid Number (whole-crude) (mgKOH/g)",Whole_Crude,2,FALSE)="","-",VLOOKUP("Acid Number (whole-crude) (mgKOH/g)",Whole_Crude,2,FALSE))</f>
        <v>0.39</v>
      </c>
      <c r="F8" s="34"/>
      <c r="G8" s="7"/>
      <c r="H8" s="35"/>
      <c r="I8" s="36"/>
      <c r="J8" s="35"/>
      <c r="K8" s="35"/>
      <c r="L8" s="35"/>
      <c r="M8" s="30">
        <v>100</v>
      </c>
      <c r="N8" s="120">
        <f ca="1">+VLOOKUP("Yield (% wgt)",Cut_90_100,2,FALSE)+N7</f>
        <v>8.7420000000000009</v>
      </c>
      <c r="O8" s="120">
        <f ca="1">+VLOOKUP("Yield (% vol)",Cut_90_100,2,FALSE)+O7</f>
        <v>11.383000000000001</v>
      </c>
      <c r="P8" s="30">
        <v>500</v>
      </c>
      <c r="Q8" s="120">
        <f ca="1">+VLOOKUP("Yield (% wgt)",Cut_480_500,2,FALSE)+Q7</f>
        <v>78.978999999999999</v>
      </c>
      <c r="R8" s="120">
        <f ca="1">+VLOOKUP("Yield (% vol)",Cut_480_500,2,FALSE)+R7</f>
        <v>81.481999999999999</v>
      </c>
    </row>
    <row r="9" spans="1:20" ht="11.1" customHeight="1" x14ac:dyDescent="0.2">
      <c r="A9" s="6"/>
      <c r="B9" s="1" t="s">
        <v>104</v>
      </c>
      <c r="C9" s="37"/>
      <c r="D9" s="29"/>
      <c r="E9" s="26">
        <f ca="1">+IF(VLOOKUP("Sulphur (Total) (% wgt)",Whole_Crude,2,FALSE)="","-",VLOOKUP("Sulphur (Total) (% wgt)",Whole_Crude,2,FALSE))</f>
        <v>0.26</v>
      </c>
      <c r="F9" s="38"/>
      <c r="G9" s="7"/>
      <c r="H9" s="7"/>
      <c r="I9" s="7"/>
      <c r="J9" s="7"/>
      <c r="K9" s="7"/>
      <c r="L9" s="7"/>
      <c r="M9" s="30">
        <v>120</v>
      </c>
      <c r="N9" s="120">
        <f ca="1">+VLOOKUP("Yield (% wgt)",Cut_100_120,2,FALSE)+N8</f>
        <v>12.39</v>
      </c>
      <c r="O9" s="120">
        <f ca="1">+VLOOKUP("Yield (% vol)",Cut_100_120,2,FALSE)+O8</f>
        <v>15.537000000000001</v>
      </c>
      <c r="P9" s="30">
        <v>520</v>
      </c>
      <c r="Q9" s="120">
        <f ca="1">+VLOOKUP("Yield (% wgt)",Cut_500_520,2,FALSE)+Q8</f>
        <v>81.495000000000005</v>
      </c>
      <c r="R9" s="120">
        <f ca="1">+VLOOKUP("Yield (% vol)",Cut_500_520,2,FALSE)+R8</f>
        <v>83.778999999999996</v>
      </c>
    </row>
    <row r="10" spans="1:20" ht="11.1" customHeight="1" x14ac:dyDescent="0.2">
      <c r="A10" s="6"/>
      <c r="B10" s="1" t="s">
        <v>87</v>
      </c>
      <c r="C10" s="37"/>
      <c r="D10" s="29"/>
      <c r="E10" s="109">
        <f ca="1">+IF(VLOOKUP("Hydrogen Sulphide (ppm wgt)",Whole_Crude,2,FALSE)="","-",VLOOKUP("Hydrogen Sulphide (ppm wgt)",Whole_Crude,2,FALSE))</f>
        <v>5.8900000000000003E-3</v>
      </c>
      <c r="F10" s="38"/>
      <c r="G10" s="7"/>
      <c r="H10" s="7"/>
      <c r="I10" s="7"/>
      <c r="J10" s="7"/>
      <c r="K10" s="7"/>
      <c r="L10" s="7"/>
      <c r="M10" s="30">
        <v>140</v>
      </c>
      <c r="N10" s="120">
        <f ca="1">+VLOOKUP("Yield (% wgt)",Cut_120_140,2,FALSE)+N9</f>
        <v>17.069000000000003</v>
      </c>
      <c r="O10" s="120">
        <f ca="1">+VLOOKUP("Yield (% vol)",Cut_120_140,2,FALSE)+O9</f>
        <v>20.724</v>
      </c>
      <c r="P10" s="30">
        <v>540</v>
      </c>
      <c r="Q10" s="120">
        <f ca="1">+VLOOKUP("Yield (% wgt)",Cut_520_540,2,FALSE)+Q9</f>
        <v>83.814999999999998</v>
      </c>
      <c r="R10" s="120">
        <f ca="1">+VLOOKUP("Yield (% vol)",Cut_520_540,2,FALSE)+R9</f>
        <v>85.887999999999991</v>
      </c>
    </row>
    <row r="11" spans="1:20" ht="11.1" customHeight="1" x14ac:dyDescent="0.2">
      <c r="A11" s="6"/>
      <c r="B11" s="1" t="s">
        <v>16</v>
      </c>
      <c r="C11" s="37"/>
      <c r="D11" s="29"/>
      <c r="E11" s="109">
        <f ca="1">+IF(VLOOKUP("Sulphur (Mercaptan) (ppm wgt)",Whole_Crude,2,FALSE)="","-",VLOOKUP("Sulphur (Mercaptan) (ppm wgt)",Whole_Crude,2,FALSE))</f>
        <v>7.49</v>
      </c>
      <c r="F11" s="38"/>
      <c r="G11" s="7"/>
      <c r="H11" s="7"/>
      <c r="I11" s="7"/>
      <c r="J11" s="7"/>
      <c r="K11" s="7"/>
      <c r="L11" s="7"/>
      <c r="M11" s="30">
        <v>160</v>
      </c>
      <c r="N11" s="120">
        <f ca="1">+VLOOKUP("Yield (% wgt)",Cut_140_160,2,FALSE)+N10</f>
        <v>21.494000000000003</v>
      </c>
      <c r="O11" s="120">
        <f ca="1">+VLOOKUP("Yield (% vol)",Cut_140_160,2,FALSE)+O10</f>
        <v>25.515000000000001</v>
      </c>
      <c r="P11" s="30">
        <v>560</v>
      </c>
      <c r="Q11" s="120">
        <f ca="1">+VLOOKUP("Yield (% wgt)",Cut_540_560,2,FALSE)+Q10</f>
        <v>85.935000000000002</v>
      </c>
      <c r="R11" s="120">
        <f ca="1">+VLOOKUP("Yield (% vol)",Cut_540_560,2,FALSE)+R10</f>
        <v>87.805999999999997</v>
      </c>
    </row>
    <row r="12" spans="1:20" ht="11.1" customHeight="1" x14ac:dyDescent="0.2">
      <c r="A12" s="6"/>
      <c r="B12" s="1" t="s">
        <v>10</v>
      </c>
      <c r="C12" s="39" t="s">
        <v>11</v>
      </c>
      <c r="D12" s="23"/>
      <c r="E12" s="5">
        <f ca="1">+IF(VLOOKUP("Viscosity (kinematic) at 10.0C (cSt)",Whole_Crude,2,FALSE)="","-",VLOOKUP("Viscosity (kinematic) at 10.0C (cSt)",Whole_Crude,2,FALSE))</f>
        <v>13.1</v>
      </c>
      <c r="F12" s="40"/>
      <c r="G12" s="41"/>
      <c r="H12" s="41"/>
      <c r="I12" s="41"/>
      <c r="J12" s="41"/>
      <c r="K12" s="41"/>
      <c r="L12" s="41"/>
      <c r="M12" s="30">
        <v>180</v>
      </c>
      <c r="N12" s="120">
        <f ca="1">+VLOOKUP("Yield (% wgt)",Cut_160_180,2,FALSE)+N11</f>
        <v>24.741000000000003</v>
      </c>
      <c r="O12" s="120">
        <f ca="1">+VLOOKUP("Yield (% vol)",Cut_160_180,2,FALSE)+O11</f>
        <v>28.956</v>
      </c>
      <c r="P12" s="30">
        <v>580</v>
      </c>
      <c r="Q12" s="120">
        <f ca="1">+VLOOKUP("Yield (% wgt)",Cut_560_580,2,FALSE)+Q11</f>
        <v>87.856000000000009</v>
      </c>
      <c r="R12" s="120">
        <f ca="1">+VLOOKUP("Yield (% vol)",Cut_560_580,2,FALSE)+R11</f>
        <v>89.534999999999997</v>
      </c>
    </row>
    <row r="13" spans="1:20" ht="11.1" customHeight="1" x14ac:dyDescent="0.2">
      <c r="A13" s="6"/>
      <c r="B13" s="42"/>
      <c r="C13" s="39" t="s">
        <v>12</v>
      </c>
      <c r="D13" s="23"/>
      <c r="E13" s="5">
        <f ca="1">+IF(VLOOKUP("Viscosity (kinematic) at 50.0C (cSt)",Whole_Crude,2,FALSE)="","-",VLOOKUP("Viscosity (kinematic) at 50.0C (cSt)",Whole_Crude,2,FALSE))</f>
        <v>4.2</v>
      </c>
      <c r="F13" s="43"/>
      <c r="G13" s="18"/>
      <c r="H13" s="18"/>
      <c r="I13" s="18"/>
      <c r="J13" s="18"/>
      <c r="K13" s="7"/>
      <c r="L13" s="7"/>
      <c r="M13" s="30">
        <v>200</v>
      </c>
      <c r="N13" s="120">
        <f ca="1">+VLOOKUP("Yield (% wgt)",Cut_180_200,2,FALSE)+N12</f>
        <v>27.790000000000003</v>
      </c>
      <c r="O13" s="120">
        <f ca="1">+VLOOKUP("Yield (% vol)",Cut_180_200,2,FALSE)+O12</f>
        <v>32.128</v>
      </c>
      <c r="P13" s="44"/>
      <c r="Q13" s="45"/>
      <c r="R13" s="45"/>
    </row>
    <row r="14" spans="1:20" ht="11.1" customHeight="1" x14ac:dyDescent="0.2">
      <c r="A14" s="6"/>
      <c r="B14" s="1" t="s">
        <v>13</v>
      </c>
      <c r="C14" s="37"/>
      <c r="D14" s="29"/>
      <c r="E14" s="109">
        <f ca="1">+IF(VLOOKUP("Pour Point (C)",Whole_Crude,2,FALSE)="","-",VLOOKUP("Pour Point (C)",Whole_Crude,2,FALSE))</f>
        <v>-39</v>
      </c>
      <c r="F14" s="46"/>
      <c r="G14" s="21"/>
      <c r="H14" s="21"/>
      <c r="I14" s="21"/>
      <c r="J14" s="21"/>
      <c r="K14" s="21"/>
      <c r="L14" s="47"/>
      <c r="M14" s="30">
        <v>220</v>
      </c>
      <c r="N14" s="120">
        <f ca="1">+VLOOKUP("Yield (% wgt)",Cut_200_220,2,FALSE)+N13</f>
        <v>31.070000000000004</v>
      </c>
      <c r="O14" s="120">
        <f ca="1">+VLOOKUP("Yield (% vol)",Cut_200_220,2,FALSE)+O13</f>
        <v>35.488999999999997</v>
      </c>
      <c r="P14" s="44"/>
      <c r="Q14" s="45"/>
      <c r="R14" s="45"/>
    </row>
    <row r="15" spans="1:20" ht="11.1" customHeight="1" x14ac:dyDescent="0.2">
      <c r="A15" s="6"/>
      <c r="B15" s="58" t="s">
        <v>105</v>
      </c>
      <c r="C15" s="37"/>
      <c r="D15" s="29"/>
      <c r="E15" s="26">
        <f ca="1">+IF(ISERROR(VLOOKUP("Nitrogen (Total) (% wgt)",Whole_Crude,2,FALSE)),"-",VLOOKUP("Nitrogen (Total) (% wgt)",Whole_Crude,2,FALSE))</f>
        <v>0.125</v>
      </c>
      <c r="F15" s="20"/>
      <c r="G15" s="23"/>
      <c r="H15" s="23"/>
      <c r="I15" s="23"/>
      <c r="J15" s="23"/>
      <c r="K15" s="23"/>
      <c r="L15" s="6"/>
      <c r="M15" s="30">
        <v>240</v>
      </c>
      <c r="N15" s="120">
        <f ca="1">+VLOOKUP("Yield (% wgt)",Cut_220_240,2,FALSE)+N14</f>
        <v>34.546000000000006</v>
      </c>
      <c r="O15" s="120">
        <f ca="1">+VLOOKUP("Yield (% vol)",Cut_220_240,2,FALSE)+O14</f>
        <v>39.003999999999998</v>
      </c>
      <c r="P15" s="44"/>
      <c r="Q15" s="45"/>
      <c r="R15" s="45"/>
    </row>
    <row r="16" spans="1:20" ht="11.1" customHeight="1" x14ac:dyDescent="0.2">
      <c r="A16" s="6"/>
      <c r="B16" s="1" t="s">
        <v>94</v>
      </c>
      <c r="C16" s="37"/>
      <c r="D16" s="29"/>
      <c r="E16" s="5" t="str">
        <f ca="1">+IF(ISERROR(VLOOKUP("Wax (% wgt)",Whole_Crude,2,FALSE)),"-",VLOOKUP("Wax (% wgt)",Whole_Crude,2,FALSE))</f>
        <v>-</v>
      </c>
      <c r="F16" s="20"/>
      <c r="G16" s="23"/>
      <c r="H16" s="48"/>
      <c r="I16" s="48" t="s">
        <v>5</v>
      </c>
      <c r="J16" s="48" t="s">
        <v>6</v>
      </c>
      <c r="K16" s="48"/>
      <c r="L16" s="49"/>
      <c r="M16" s="30">
        <v>260</v>
      </c>
      <c r="N16" s="120">
        <f ca="1">+VLOOKUP("Yield (% wgt)",Cut_240_260,2,FALSE)+N15</f>
        <v>38.170000000000009</v>
      </c>
      <c r="O16" s="120">
        <f ca="1">+VLOOKUP("Yield (% vol)",Cut_240_260,2,FALSE)+O15</f>
        <v>42.625999999999998</v>
      </c>
      <c r="P16" s="44"/>
      <c r="Q16" s="45"/>
      <c r="R16" s="45"/>
    </row>
    <row r="17" spans="1:18" ht="11.1" customHeight="1" x14ac:dyDescent="0.2">
      <c r="A17" s="6"/>
      <c r="B17" s="1" t="s">
        <v>95</v>
      </c>
      <c r="C17" s="37"/>
      <c r="D17" s="29"/>
      <c r="E17" s="5" t="str">
        <f ca="1">+IF(VLOOKUP("Wax Appearance Temperature (C)",Whole_Crude,2,FALSE)="","-",VLOOKUP("Wax Appearance Temperature (C)",Whole_Crude,2,FALSE))</f>
        <v>-</v>
      </c>
      <c r="F17" s="20"/>
      <c r="G17" s="23"/>
      <c r="H17" s="48"/>
      <c r="I17" s="50"/>
      <c r="J17" s="48"/>
      <c r="K17" s="48"/>
      <c r="L17" s="49"/>
      <c r="M17" s="51">
        <v>280</v>
      </c>
      <c r="N17" s="120">
        <f ca="1">+VLOOKUP("Yield (% wgt)",Cut_260_280,2,FALSE)+N16</f>
        <v>41.95600000000001</v>
      </c>
      <c r="O17" s="120">
        <f ca="1">+VLOOKUP("Yield (% vol)",Cut_260_280,2,FALSE)+O16</f>
        <v>46.375</v>
      </c>
      <c r="P17" s="44"/>
      <c r="Q17" s="45"/>
      <c r="R17" s="45"/>
    </row>
    <row r="18" spans="1:18" ht="11.1" customHeight="1" x14ac:dyDescent="0.2">
      <c r="A18" s="6"/>
      <c r="B18" s="1" t="s">
        <v>14</v>
      </c>
      <c r="C18" s="37"/>
      <c r="D18" s="29"/>
      <c r="E18" s="109">
        <f ca="1">+IF(VLOOKUP("Reid Vapour Pressure (whole-crude) (kpa)",Whole_Crude,2,FALSE)="","-",VLOOKUP("Reid Vapour Pressure (whole-crude) (kpa)",Whole_Crude,2,FALSE))</f>
        <v>39.4</v>
      </c>
      <c r="F18" s="52"/>
      <c r="G18" s="27" t="s">
        <v>15</v>
      </c>
      <c r="H18" s="23"/>
      <c r="I18" s="122">
        <f ca="1">+VLOOKUP("C02P : ethane (% wgt)",Whole_Crude,2,FALSE)</f>
        <v>0.04</v>
      </c>
      <c r="J18" s="122">
        <f ca="1">+VLOOKUP("C02P : ethane (% vol)",Whole_Crude,2,FALSE)</f>
        <v>0.1</v>
      </c>
      <c r="K18" s="53"/>
      <c r="L18" s="54"/>
      <c r="M18" s="51">
        <v>300</v>
      </c>
      <c r="N18" s="120">
        <f ca="1">+VLOOKUP("Yield (% wgt)",Cut_280_300,2,FALSE)+N17</f>
        <v>45.968000000000011</v>
      </c>
      <c r="O18" s="120">
        <f ca="1">+VLOOKUP("Yield (% vol)",Cut_280_300,2,FALSE)+O17</f>
        <v>50.319000000000003</v>
      </c>
      <c r="P18" s="44"/>
      <c r="Q18" s="45"/>
      <c r="R18" s="45"/>
    </row>
    <row r="19" spans="1:18" ht="11.1" customHeight="1" x14ac:dyDescent="0.2">
      <c r="A19" s="6"/>
      <c r="B19" s="1" t="s">
        <v>96</v>
      </c>
      <c r="C19" s="37"/>
      <c r="D19" s="29"/>
      <c r="E19" s="5">
        <f ca="1">+IF(VLOOKUP("Water (% vol)",Whole_Crude,2,FALSE)="","-",VLOOKUP("Water (% vol)",Whole_Crude,2,FALSE))</f>
        <v>0</v>
      </c>
      <c r="F19" s="52"/>
      <c r="G19" s="27" t="s">
        <v>17</v>
      </c>
      <c r="H19" s="23"/>
      <c r="I19" s="122">
        <f ca="1">+VLOOKUP("C03P : propane (% wgt)",Whole_Crude,2,FALSE)</f>
        <v>0.31</v>
      </c>
      <c r="J19" s="122">
        <f ca="1">+VLOOKUP("C03P : propane (% vol)",Whole_Crude,2,FALSE)</f>
        <v>0.52</v>
      </c>
      <c r="K19" s="53"/>
      <c r="L19" s="54"/>
      <c r="M19" s="51">
        <v>320</v>
      </c>
      <c r="N19" s="120">
        <f ca="1">+VLOOKUP("Yield (% wgt)",Cut_300_320,2,FALSE)+N18</f>
        <v>50.163000000000011</v>
      </c>
      <c r="O19" s="120">
        <f ca="1">+VLOOKUP("Yield (% vol)",Cut_300_320,2,FALSE)+O18</f>
        <v>54.42</v>
      </c>
      <c r="P19" s="44"/>
      <c r="Q19" s="45"/>
      <c r="R19" s="45"/>
    </row>
    <row r="20" spans="1:18" ht="11.1" customHeight="1" x14ac:dyDescent="0.2">
      <c r="A20" s="6"/>
      <c r="B20" s="1" t="s">
        <v>97</v>
      </c>
      <c r="C20" s="37"/>
      <c r="D20" s="29"/>
      <c r="E20" s="5">
        <f ca="1">+IF(VLOOKUP("Salt (ppm wgt)",Whole_Crude,2,FALSE)="","-",VLOOKUP("Salt (ppm wgt)",Whole_Crude,2,FALSE))</f>
        <v>38.6</v>
      </c>
      <c r="F20" s="52"/>
      <c r="G20" s="27" t="s">
        <v>18</v>
      </c>
      <c r="H20" s="23"/>
      <c r="I20" s="122">
        <f ca="1">+VLOOKUP("C04P : i-butane (% wgt)",Whole_Crude,2,FALSE)</f>
        <v>0.34</v>
      </c>
      <c r="J20" s="122">
        <f ca="1">+VLOOKUP("C04P : i-butane (% vol)",Whole_Crude,2,FALSE)</f>
        <v>0.52</v>
      </c>
      <c r="K20" s="53"/>
      <c r="L20" s="54"/>
      <c r="M20" s="30">
        <v>340</v>
      </c>
      <c r="N20" s="120">
        <f ca="1">+VLOOKUP("Yield (% wgt)",Cut_320_340,2,FALSE)+N19</f>
        <v>53.826000000000008</v>
      </c>
      <c r="O20" s="120">
        <f ca="1">+VLOOKUP("Yield (% vol)",Cut_320_340,2,FALSE)+O19</f>
        <v>57.972000000000001</v>
      </c>
      <c r="P20" s="44"/>
      <c r="Q20" s="45"/>
      <c r="R20" s="45"/>
    </row>
    <row r="21" spans="1:18" ht="11.1" customHeight="1" x14ac:dyDescent="0.2">
      <c r="A21" s="6"/>
      <c r="B21" s="1" t="s">
        <v>84</v>
      </c>
      <c r="C21" s="39"/>
      <c r="D21" s="23"/>
      <c r="E21" s="5">
        <f ca="1">+IF(VLOOKUP("Nickel (ppm wgt)",Whole_Crude,2,FALSE)="","-",VLOOKUP("Nickel (ppm wgt)",Whole_Crude,2,FALSE))</f>
        <v>3.66</v>
      </c>
      <c r="F21" s="52"/>
      <c r="G21" s="27" t="s">
        <v>20</v>
      </c>
      <c r="H21" s="23"/>
      <c r="I21" s="122">
        <f ca="1">+VLOOKUP("C04P : n-butane (% wgt)",Whole_Crude,2,FALSE)</f>
        <v>0.82</v>
      </c>
      <c r="J21" s="122">
        <f ca="1">+VLOOKUP("C04P : n-butane (% vol)",Whole_Crude,2,FALSE)</f>
        <v>1.2</v>
      </c>
      <c r="K21" s="53"/>
      <c r="L21" s="54"/>
      <c r="M21" s="30">
        <v>360</v>
      </c>
      <c r="N21" s="120">
        <f ca="1">+VLOOKUP("Yield (% wgt)",Cut_340_360,2,FALSE)+N20</f>
        <v>56.878000000000007</v>
      </c>
      <c r="O21" s="120">
        <f ca="1">+VLOOKUP("Yield (% vol)",Cut_340_360,2,FALSE)+O20</f>
        <v>60.899000000000001</v>
      </c>
      <c r="P21" s="44"/>
      <c r="Q21" s="45"/>
      <c r="R21" s="45"/>
    </row>
    <row r="22" spans="1:18" ht="11.1" customHeight="1" x14ac:dyDescent="0.2">
      <c r="A22" s="6"/>
      <c r="B22" s="55" t="s">
        <v>85</v>
      </c>
      <c r="C22" s="39"/>
      <c r="D22" s="23"/>
      <c r="E22" s="5">
        <f ca="1">+IF(VLOOKUP("Vanadium (ppm wgt)",Whole_Crude,2,FALSE)="","-",VLOOKUP("Vanadium (ppm wgt)",Whole_Crude,2,FALSE))</f>
        <v>0.439</v>
      </c>
      <c r="F22" s="52"/>
      <c r="G22" s="29"/>
      <c r="H22" s="56"/>
      <c r="I22" s="56"/>
      <c r="J22" s="56"/>
      <c r="K22" s="56"/>
      <c r="L22" s="57"/>
      <c r="M22" s="30">
        <v>380</v>
      </c>
      <c r="N22" s="120">
        <f ca="1">+VLOOKUP("Yield (% wgt)",Cut_360_380,2,FALSE)+N21</f>
        <v>60.135000000000005</v>
      </c>
      <c r="O22" s="120">
        <f ca="1">+VLOOKUP("Yield (% vol)",Cut_360_380,2,FALSE)+O21</f>
        <v>63.989000000000004</v>
      </c>
      <c r="P22" s="44"/>
      <c r="Q22" s="45"/>
      <c r="R22" s="45"/>
    </row>
    <row r="23" spans="1:18" ht="11.1" customHeight="1" x14ac:dyDescent="0.2">
      <c r="A23" s="6"/>
      <c r="B23" s="1" t="s">
        <v>90</v>
      </c>
      <c r="C23" s="23"/>
      <c r="D23" s="23"/>
      <c r="E23" s="5">
        <f ca="1">+IF(VLOOKUP("Iron (ppm wgt)",Whole_Crude,2,FALSE)="","-",VLOOKUP("Iron (ppm wgt)",Whole_Crude,2,FALSE))</f>
        <v>0.73599999999999999</v>
      </c>
      <c r="F23" s="52"/>
      <c r="G23" s="21"/>
      <c r="H23" s="57"/>
      <c r="I23" s="57"/>
      <c r="J23" s="57"/>
      <c r="K23" s="57"/>
      <c r="L23" s="57"/>
      <c r="M23" s="30">
        <v>400</v>
      </c>
      <c r="N23" s="120">
        <f ca="1">+VLOOKUP("Yield (% wgt)",Cut_380_400,2,FALSE)+N22</f>
        <v>63.586000000000006</v>
      </c>
      <c r="O23" s="120">
        <f ca="1">+VLOOKUP("Yield (% vol)",Cut_380_400,2,FALSE)+O22</f>
        <v>67.233000000000004</v>
      </c>
      <c r="P23" s="44"/>
      <c r="Q23" s="45"/>
      <c r="R23" s="45"/>
    </row>
    <row r="24" spans="1:18" ht="11.1" customHeight="1" x14ac:dyDescent="0.2">
      <c r="A24" s="6"/>
      <c r="B24" s="129" t="s">
        <v>92</v>
      </c>
      <c r="C24" s="130"/>
      <c r="D24" s="7"/>
      <c r="E24" s="5">
        <f ca="1">+IF(VLOOKUP("Mercury (ppb wgt)",Whole_Crude,2,FALSE)="","-",VLOOKUP("Mercury (ppb wgt)",Whole_Crude,2,FALSE))</f>
        <v>2E-3</v>
      </c>
      <c r="F24" s="52"/>
      <c r="G24" s="21"/>
      <c r="H24" s="59"/>
      <c r="I24" s="59"/>
      <c r="J24" s="59"/>
      <c r="K24" s="59"/>
      <c r="L24" s="59"/>
      <c r="M24" s="30">
        <v>420</v>
      </c>
      <c r="N24" s="120">
        <f ca="1">+VLOOKUP("Yield (% wgt)",Cut_400_420,2,FALSE)+N23</f>
        <v>67.01700000000001</v>
      </c>
      <c r="O24" s="120">
        <f ca="1">+VLOOKUP("Yield (% vol)",Cut_400_420,2,FALSE)+O23</f>
        <v>70.438000000000002</v>
      </c>
      <c r="P24" s="60"/>
      <c r="Q24" s="45"/>
      <c r="R24" s="45"/>
    </row>
    <row r="25" spans="1:18" ht="11.1" customHeight="1" x14ac:dyDescent="0.2">
      <c r="A25" s="6"/>
      <c r="B25" s="61"/>
      <c r="C25" s="41"/>
      <c r="D25" s="41"/>
      <c r="E25" s="62"/>
      <c r="F25" s="63"/>
      <c r="G25" s="64"/>
      <c r="H25" s="65"/>
      <c r="I25" s="65"/>
      <c r="J25" s="65"/>
      <c r="K25" s="65"/>
      <c r="L25" s="65"/>
      <c r="M25" s="66">
        <v>440</v>
      </c>
      <c r="N25" s="121">
        <f ca="1">+VLOOKUP("Yield (% wgt)",Cut_420_440,2,FALSE)+N24</f>
        <v>70.292000000000016</v>
      </c>
      <c r="O25" s="121">
        <f ca="1">+VLOOKUP("Yield (% vol)",Cut_420_440,2,FALSE)+O24</f>
        <v>73.481000000000009</v>
      </c>
      <c r="P25" s="67"/>
      <c r="Q25" s="68"/>
      <c r="R25" s="68"/>
    </row>
    <row r="26" spans="1:18" ht="11.1" customHeight="1" x14ac:dyDescent="0.2">
      <c r="A26" s="6"/>
      <c r="B26" s="69"/>
      <c r="C26" s="7"/>
      <c r="D26" s="7"/>
      <c r="E26" s="8"/>
      <c r="F26" s="35"/>
      <c r="G26" s="35"/>
      <c r="H26" s="7"/>
      <c r="I26" s="7"/>
      <c r="J26" s="7"/>
      <c r="K26" s="7"/>
      <c r="L26" s="7"/>
      <c r="M26" s="70"/>
      <c r="N26" s="70"/>
      <c r="O26" s="70"/>
      <c r="P26" s="70"/>
      <c r="Q26" s="70"/>
      <c r="R26" s="70"/>
    </row>
    <row r="27" spans="1:18" ht="11.1" customHeight="1" x14ac:dyDescent="0.2">
      <c r="B27" s="71"/>
      <c r="C27" s="18"/>
      <c r="D27" s="18"/>
      <c r="E27" s="72"/>
      <c r="F27" s="18"/>
      <c r="G27" s="18"/>
      <c r="H27" s="18"/>
      <c r="I27" s="18"/>
      <c r="J27" s="18"/>
      <c r="K27" s="18"/>
      <c r="L27" s="18"/>
      <c r="M27" s="72"/>
      <c r="N27" s="72"/>
      <c r="O27" s="72"/>
      <c r="P27" s="72"/>
      <c r="Q27" s="72"/>
      <c r="R27" s="73"/>
    </row>
    <row r="28" spans="1:18" ht="12.75" x14ac:dyDescent="0.2">
      <c r="B28" s="74" t="s">
        <v>21</v>
      </c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6"/>
    </row>
    <row r="29" spans="1:18" ht="11.1" customHeight="1" x14ac:dyDescent="0.2">
      <c r="B29" s="77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9"/>
    </row>
    <row r="30" spans="1:18" ht="11.1" customHeight="1" x14ac:dyDescent="0.2">
      <c r="B30" s="80"/>
      <c r="C30" s="2" t="s">
        <v>22</v>
      </c>
      <c r="D30" s="2" t="s">
        <v>23</v>
      </c>
      <c r="E30" s="2" t="s">
        <v>23</v>
      </c>
      <c r="F30" s="2" t="s">
        <v>24</v>
      </c>
      <c r="G30" s="2" t="s">
        <v>25</v>
      </c>
      <c r="H30" s="2" t="s">
        <v>26</v>
      </c>
      <c r="I30" s="2" t="s">
        <v>27</v>
      </c>
      <c r="J30" s="2" t="s">
        <v>28</v>
      </c>
      <c r="K30" s="2"/>
      <c r="L30" s="2"/>
      <c r="M30" s="2" t="s">
        <v>98</v>
      </c>
      <c r="N30" s="2" t="s">
        <v>38</v>
      </c>
      <c r="O30" s="2" t="s">
        <v>29</v>
      </c>
      <c r="P30" s="2"/>
      <c r="Q30" s="2"/>
      <c r="R30" s="4"/>
    </row>
    <row r="31" spans="1:18" ht="11.1" customHeight="1" x14ac:dyDescent="0.2">
      <c r="B31" s="25" t="s">
        <v>30</v>
      </c>
      <c r="C31" s="81" t="s">
        <v>4</v>
      </c>
      <c r="D31" s="81" t="s">
        <v>5</v>
      </c>
      <c r="E31" s="81" t="s">
        <v>31</v>
      </c>
      <c r="F31" s="81" t="s">
        <v>88</v>
      </c>
      <c r="G31" s="81" t="s">
        <v>5</v>
      </c>
      <c r="H31" s="81" t="s">
        <v>32</v>
      </c>
      <c r="I31" s="81" t="s">
        <v>33</v>
      </c>
      <c r="J31" s="81" t="s">
        <v>33</v>
      </c>
      <c r="K31" s="81"/>
      <c r="L31" s="81"/>
      <c r="M31" s="81" t="s">
        <v>6</v>
      </c>
      <c r="N31" s="81" t="s">
        <v>6</v>
      </c>
      <c r="O31" s="81" t="s">
        <v>34</v>
      </c>
      <c r="P31" s="81"/>
      <c r="Q31" s="81"/>
      <c r="R31" s="82"/>
    </row>
    <row r="32" spans="1:18" ht="11.1" customHeight="1" x14ac:dyDescent="0.2">
      <c r="B32" s="25" t="s">
        <v>35</v>
      </c>
      <c r="C32" s="83" t="s">
        <v>36</v>
      </c>
      <c r="D32" s="86">
        <f ca="1">+IF(VLOOKUP(#REF!,INDIRECT(#REF!),2,FALSE)="","-",VLOOKUP(#REF!,INDIRECT(#REF!),2,FALSE))</f>
        <v>3.4510000000000001</v>
      </c>
      <c r="E32" s="86">
        <f ca="1">+IF(VLOOKUP(#REF!,INDIRECT(#REF!),2,FALSE)="","-",VLOOKUP(#REF!,INDIRECT(#REF!),2,FALSE))</f>
        <v>4.5579999999999998</v>
      </c>
      <c r="F32" s="85">
        <f ca="1">+IF(VLOOKUP(#REF!,INDIRECT(#REF!),2,FALSE)="","-",VLOOKUP(#REF!,INDIRECT(#REF!),2,FALSE))</f>
        <v>646.93619999999999</v>
      </c>
      <c r="G32" s="84">
        <f ca="1">+IF(VLOOKUP(#REF!,INDIRECT(#REF!),2,FALSE)="","-",VLOOKUP(#REF!,INDIRECT(#REF!),2,FALSE))</f>
        <v>1.03E-4</v>
      </c>
      <c r="H32" s="85">
        <f ca="1">+IF(VLOOKUP(#REF!,INDIRECT(#REF!),2,FALSE)="","-",VLOOKUP(#REF!,INDIRECT(#REF!),2,FALSE))</f>
        <v>1.95</v>
      </c>
      <c r="I32" s="86">
        <f ca="1">+IF(VLOOKUP(#REF!,INDIRECT(#REF!),2,FALSE)="","-",VLOOKUP(#REF!,INDIRECT(#REF!),2,FALSE))</f>
        <v>81.400000000000006</v>
      </c>
      <c r="J32" s="86">
        <f ca="1">+IF(VLOOKUP(#REF!,INDIRECT(#REF!),2,FALSE)="","-",VLOOKUP(#REF!,INDIRECT(#REF!),2,FALSE))</f>
        <v>79.3</v>
      </c>
      <c r="K32" s="84"/>
      <c r="L32" s="84"/>
      <c r="M32" s="86">
        <f ca="1">+IF(VLOOKUP(#REF!,INDIRECT(#REF!),2,FALSE)="","-",VLOOKUP(#REF!,INDIRECT(#REF!),2,FALSE))</f>
        <v>9.59</v>
      </c>
      <c r="N32" s="86">
        <f ca="1">+IF(VLOOKUP(#REF!,INDIRECT(#REF!),2,FALSE)="","-",VLOOKUP(#REF!,INDIRECT(#REF!),2,FALSE))</f>
        <v>0.51</v>
      </c>
      <c r="O32" s="84" t="str">
        <f ca="1">+IF(VLOOKUP(#REF!,INDIRECT(#REF!),2,FALSE)="","-",VLOOKUP(#REF!,INDIRECT(#REF!),2,FALSE))</f>
        <v>-</v>
      </c>
      <c r="P32" s="86"/>
      <c r="Q32" s="86"/>
      <c r="R32" s="87"/>
    </row>
    <row r="33" spans="2:19" ht="11.1" customHeight="1" x14ac:dyDescent="0.2">
      <c r="B33" s="88"/>
      <c r="C33" s="89" t="s">
        <v>37</v>
      </c>
      <c r="D33" s="86">
        <f ca="1">+IF(VLOOKUP(#REF!,INDIRECT(#REF!),2,FALSE)="","-",VLOOKUP(#REF!,INDIRECT(#REF!),2,FALSE))</f>
        <v>4.7309999999999999</v>
      </c>
      <c r="E33" s="86">
        <f ca="1">+IF(VLOOKUP(#REF!,INDIRECT(#REF!),2,FALSE)="","-",VLOOKUP(#REF!,INDIRECT(#REF!),2,FALSE))</f>
        <v>6.1120000000000001</v>
      </c>
      <c r="F33" s="85">
        <f ca="1">+IF(VLOOKUP(#REF!,INDIRECT(#REF!),2,FALSE)="","-",VLOOKUP(#REF!,INDIRECT(#REF!),2,FALSE))</f>
        <v>661.3229</v>
      </c>
      <c r="G33" s="84">
        <f ca="1">+IF(VLOOKUP(#REF!,INDIRECT(#REF!),2,FALSE)="","-",VLOOKUP(#REF!,INDIRECT(#REF!),2,FALSE))</f>
        <v>1.92E-4</v>
      </c>
      <c r="H33" s="85">
        <f ca="1">+IF(VLOOKUP(#REF!,INDIRECT(#REF!),2,FALSE)="","-",VLOOKUP(#REF!,INDIRECT(#REF!),2,FALSE))</f>
        <v>3.5</v>
      </c>
      <c r="I33" s="86">
        <f ca="1">+IF(VLOOKUP(#REF!,INDIRECT(#REF!),2,FALSE)="","-",VLOOKUP(#REF!,INDIRECT(#REF!),2,FALSE))</f>
        <v>80.900000000000006</v>
      </c>
      <c r="J33" s="86">
        <f ca="1">+IF(VLOOKUP(#REF!,INDIRECT(#REF!),2,FALSE)="","-",VLOOKUP(#REF!,INDIRECT(#REF!),2,FALSE))</f>
        <v>78.400000000000006</v>
      </c>
      <c r="K33" s="84"/>
      <c r="L33" s="84"/>
      <c r="M33" s="86">
        <f ca="1">+IF(VLOOKUP(#REF!,INDIRECT(#REF!),2,FALSE)="","-",VLOOKUP(#REF!,INDIRECT(#REF!),2,FALSE))</f>
        <v>18.02</v>
      </c>
      <c r="N33" s="86">
        <f ca="1">+IF(VLOOKUP(#REF!,INDIRECT(#REF!),2,FALSE)="","-",VLOOKUP(#REF!,INDIRECT(#REF!),2,FALSE))</f>
        <v>1.32</v>
      </c>
      <c r="O33" s="84" t="str">
        <f ca="1">+IF(VLOOKUP(#REF!,INDIRECT(#REF!),2,FALSE)="","-",VLOOKUP(#REF!,INDIRECT(#REF!),2,FALSE))</f>
        <v>-</v>
      </c>
      <c r="P33" s="90"/>
      <c r="Q33" s="90"/>
      <c r="R33" s="91"/>
    </row>
    <row r="34" spans="2:19" ht="11.1" customHeight="1" x14ac:dyDescent="0.2">
      <c r="B34" s="80"/>
      <c r="C34" s="2" t="s">
        <v>22</v>
      </c>
      <c r="D34" s="92" t="s">
        <v>23</v>
      </c>
      <c r="E34" s="92" t="s">
        <v>23</v>
      </c>
      <c r="F34" s="3" t="s">
        <v>24</v>
      </c>
      <c r="G34" s="93" t="s">
        <v>25</v>
      </c>
      <c r="H34" s="3" t="s">
        <v>26</v>
      </c>
      <c r="I34" s="94"/>
      <c r="J34" s="2"/>
      <c r="K34" s="94"/>
      <c r="L34" s="94"/>
      <c r="M34" s="2" t="s">
        <v>98</v>
      </c>
      <c r="N34" s="94" t="s">
        <v>38</v>
      </c>
      <c r="O34" s="94"/>
      <c r="P34" s="94"/>
      <c r="Q34" s="94"/>
      <c r="R34" s="95"/>
    </row>
    <row r="35" spans="2:19" ht="11.1" customHeight="1" x14ac:dyDescent="0.2">
      <c r="B35" s="25" t="s">
        <v>39</v>
      </c>
      <c r="C35" s="81" t="s">
        <v>4</v>
      </c>
      <c r="D35" s="110" t="s">
        <v>5</v>
      </c>
      <c r="E35" s="110" t="s">
        <v>31</v>
      </c>
      <c r="F35" s="111" t="s">
        <v>88</v>
      </c>
      <c r="G35" s="81" t="s">
        <v>5</v>
      </c>
      <c r="H35" s="111" t="s">
        <v>32</v>
      </c>
      <c r="I35" s="112"/>
      <c r="J35" s="81"/>
      <c r="K35" s="112"/>
      <c r="L35" s="112"/>
      <c r="M35" s="112" t="s">
        <v>6</v>
      </c>
      <c r="N35" s="112" t="s">
        <v>6</v>
      </c>
      <c r="O35" s="112"/>
      <c r="P35" s="112"/>
      <c r="Q35" s="112"/>
      <c r="R35" s="113"/>
    </row>
    <row r="36" spans="2:19" ht="11.1" customHeight="1" x14ac:dyDescent="0.2">
      <c r="B36" s="25" t="s">
        <v>35</v>
      </c>
      <c r="C36" s="83" t="s">
        <v>40</v>
      </c>
      <c r="D36" s="86">
        <f ca="1">+IF(VLOOKUP(#REF!,INDIRECT(#REF!),2,FALSE)="","-",VLOOKUP(#REF!,INDIRECT(#REF!),2,FALSE))</f>
        <v>13.186999999999999</v>
      </c>
      <c r="E36" s="86">
        <f ca="1">+IF(VLOOKUP(#REF!,INDIRECT(#REF!),2,FALSE)="","-",VLOOKUP(#REF!,INDIRECT(#REF!),2,FALSE))</f>
        <v>14.846</v>
      </c>
      <c r="F36" s="85">
        <f ca="1">+IF(VLOOKUP(#REF!,INDIRECT(#REF!),2,FALSE)="","-",VLOOKUP(#REF!,INDIRECT(#REF!),2,FALSE))</f>
        <v>758.94770000000005</v>
      </c>
      <c r="G36" s="84">
        <f ca="1">+IF(VLOOKUP(#REF!,INDIRECT(#REF!),2,FALSE)="","-",VLOOKUP(#REF!,INDIRECT(#REF!),2,FALSE))</f>
        <v>7.1799999999999998E-3</v>
      </c>
      <c r="H36" s="85">
        <f ca="1">+IF(VLOOKUP(#REF!,INDIRECT(#REF!),2,FALSE)="","-",VLOOKUP(#REF!,INDIRECT(#REF!),2,FALSE))</f>
        <v>9.14</v>
      </c>
      <c r="I36" s="86"/>
      <c r="J36" s="86"/>
      <c r="K36" s="86"/>
      <c r="L36" s="86"/>
      <c r="M36" s="86">
        <f ca="1">+IF(VLOOKUP(#REF!,INDIRECT(#REF!),2,FALSE)="","-",VLOOKUP(#REF!,INDIRECT(#REF!),2,FALSE))</f>
        <v>60.49</v>
      </c>
      <c r="N36" s="86">
        <f ca="1">+IF(VLOOKUP(#REF!,INDIRECT(#REF!),2,FALSE)="","-",VLOOKUP(#REF!,INDIRECT(#REF!),2,FALSE))</f>
        <v>7.96</v>
      </c>
      <c r="O36" s="86"/>
      <c r="P36" s="86"/>
      <c r="Q36" s="86"/>
      <c r="R36" s="87"/>
    </row>
    <row r="37" spans="2:19" ht="11.1" customHeight="1" x14ac:dyDescent="0.2">
      <c r="B37" s="96"/>
      <c r="C37" s="83" t="s">
        <v>41</v>
      </c>
      <c r="D37" s="86">
        <f ca="1">+IF(VLOOKUP(#REF!,INDIRECT(#REF!),2,FALSE)="","-",VLOOKUP(#REF!,INDIRECT(#REF!),2,FALSE))</f>
        <v>17.745999999999999</v>
      </c>
      <c r="E37" s="86">
        <f ca="1">+IF(VLOOKUP(#REF!,INDIRECT(#REF!),2,FALSE)="","-",VLOOKUP(#REF!,INDIRECT(#REF!),2,FALSE))</f>
        <v>19.716999999999999</v>
      </c>
      <c r="F37" s="85">
        <f ca="1">+IF(VLOOKUP(#REF!,INDIRECT(#REF!),2,FALSE)="","-",VLOOKUP(#REF!,INDIRECT(#REF!),2,FALSE))</f>
        <v>768.99959999999999</v>
      </c>
      <c r="G37" s="84">
        <f ca="1">+IF(VLOOKUP(#REF!,INDIRECT(#REF!),2,FALSE)="","-",VLOOKUP(#REF!,INDIRECT(#REF!),2,FALSE))</f>
        <v>1.37E-2</v>
      </c>
      <c r="H37" s="85">
        <f ca="1">+IF(VLOOKUP(#REF!,INDIRECT(#REF!),2,FALSE)="","-",VLOOKUP(#REF!,INDIRECT(#REF!),2,FALSE))</f>
        <v>9.76</v>
      </c>
      <c r="I37" s="86"/>
      <c r="J37" s="86"/>
      <c r="K37" s="86"/>
      <c r="L37" s="86"/>
      <c r="M37" s="86">
        <f ca="1">+IF(VLOOKUP(#REF!,INDIRECT(#REF!),2,FALSE)="","-",VLOOKUP(#REF!,INDIRECT(#REF!),2,FALSE))</f>
        <v>59.07</v>
      </c>
      <c r="N37" s="86">
        <f ca="1">+IF(VLOOKUP(#REF!,INDIRECT(#REF!),2,FALSE)="","-",VLOOKUP(#REF!,INDIRECT(#REF!),2,FALSE))</f>
        <v>10.199999999999999</v>
      </c>
      <c r="O37" s="86"/>
      <c r="P37" s="86"/>
      <c r="Q37" s="86"/>
      <c r="R37" s="87"/>
    </row>
    <row r="38" spans="2:19" ht="11.1" customHeight="1" x14ac:dyDescent="0.2">
      <c r="B38" s="96"/>
      <c r="C38" s="83" t="s">
        <v>42</v>
      </c>
      <c r="D38" s="86">
        <f ca="1">+IF(VLOOKUP(#REF!,INDIRECT(#REF!),2,FALSE)="","-",VLOOKUP(#REF!,INDIRECT(#REF!),2,FALSE))</f>
        <v>10.688000000000001</v>
      </c>
      <c r="E38" s="86">
        <f ca="1">+IF(VLOOKUP(#REF!,INDIRECT(#REF!),2,FALSE)="","-",VLOOKUP(#REF!,INDIRECT(#REF!),2,FALSE))</f>
        <v>11.911</v>
      </c>
      <c r="F38" s="85">
        <f ca="1">+IF(VLOOKUP(#REF!,INDIRECT(#REF!),2,FALSE)="","-",VLOOKUP(#REF!,INDIRECT(#REF!),2,FALSE))</f>
        <v>766.71709999999996</v>
      </c>
      <c r="G38" s="84">
        <f ca="1">+IF(VLOOKUP(#REF!,INDIRECT(#REF!),2,FALSE)="","-",VLOOKUP(#REF!,INDIRECT(#REF!),2,FALSE))</f>
        <v>8.6E-3</v>
      </c>
      <c r="H38" s="85">
        <f ca="1">+IF(VLOOKUP(#REF!,INDIRECT(#REF!),2,FALSE)="","-",VLOOKUP(#REF!,INDIRECT(#REF!),2,FALSE))</f>
        <v>9.41</v>
      </c>
      <c r="I38" s="86"/>
      <c r="J38" s="86"/>
      <c r="K38" s="86"/>
      <c r="L38" s="86"/>
      <c r="M38" s="86">
        <f ca="1">+IF(VLOOKUP(#REF!,INDIRECT(#REF!),2,FALSE)="","-",VLOOKUP(#REF!,INDIRECT(#REF!),2,FALSE))</f>
        <v>61.7</v>
      </c>
      <c r="N38" s="86">
        <f ca="1">+IF(VLOOKUP(#REF!,INDIRECT(#REF!),2,FALSE)="","-",VLOOKUP(#REF!,INDIRECT(#REF!),2,FALSE))</f>
        <v>8.8699999999999992</v>
      </c>
      <c r="O38" s="86"/>
      <c r="P38" s="86"/>
      <c r="Q38" s="86"/>
      <c r="R38" s="91"/>
    </row>
    <row r="39" spans="2:19" ht="11.1" customHeight="1" x14ac:dyDescent="0.2">
      <c r="B39" s="80"/>
      <c r="C39" s="2" t="s">
        <v>22</v>
      </c>
      <c r="D39" s="92" t="s">
        <v>23</v>
      </c>
      <c r="E39" s="92" t="s">
        <v>23</v>
      </c>
      <c r="F39" s="3" t="s">
        <v>24</v>
      </c>
      <c r="G39" s="2" t="s">
        <v>25</v>
      </c>
      <c r="H39" s="3" t="s">
        <v>26</v>
      </c>
      <c r="I39" s="2" t="s">
        <v>43</v>
      </c>
      <c r="J39" s="2" t="s">
        <v>44</v>
      </c>
      <c r="K39" s="2" t="s">
        <v>45</v>
      </c>
      <c r="L39" s="2" t="s">
        <v>99</v>
      </c>
      <c r="M39" s="2"/>
      <c r="N39" s="2" t="s">
        <v>38</v>
      </c>
      <c r="O39" s="2" t="s">
        <v>46</v>
      </c>
      <c r="P39" s="2"/>
      <c r="Q39" s="2"/>
      <c r="R39" s="4" t="s">
        <v>47</v>
      </c>
    </row>
    <row r="40" spans="2:19" ht="11.1" customHeight="1" x14ac:dyDescent="0.2">
      <c r="B40" s="25" t="s">
        <v>48</v>
      </c>
      <c r="C40" s="81" t="s">
        <v>4</v>
      </c>
      <c r="D40" s="110" t="s">
        <v>5</v>
      </c>
      <c r="E40" s="110" t="s">
        <v>31</v>
      </c>
      <c r="F40" s="111" t="s">
        <v>88</v>
      </c>
      <c r="G40" s="81" t="s">
        <v>5</v>
      </c>
      <c r="H40" s="111" t="s">
        <v>32</v>
      </c>
      <c r="I40" s="81" t="s">
        <v>106</v>
      </c>
      <c r="J40" s="81" t="s">
        <v>102</v>
      </c>
      <c r="K40" s="112" t="s">
        <v>100</v>
      </c>
      <c r="L40" s="81" t="s">
        <v>4</v>
      </c>
      <c r="M40" s="81"/>
      <c r="N40" s="81" t="s">
        <v>6</v>
      </c>
      <c r="O40" s="81" t="s">
        <v>50</v>
      </c>
      <c r="P40" s="81"/>
      <c r="Q40" s="81"/>
      <c r="R40" s="82" t="s">
        <v>49</v>
      </c>
    </row>
    <row r="41" spans="2:19" ht="11.1" customHeight="1" x14ac:dyDescent="0.2">
      <c r="B41" s="96"/>
      <c r="C41" s="83" t="s">
        <v>51</v>
      </c>
      <c r="D41" s="86">
        <f ca="1">+IF(VLOOKUP(#REF!,INDIRECT(#REF!),2,FALSE)="","-",VLOOKUP(#REF!,INDIRECT(#REF!),2,FALSE))</f>
        <v>13.356999999999999</v>
      </c>
      <c r="E41" s="86">
        <f ca="1">+IF(VLOOKUP(#REF!,INDIRECT(#REF!),2,FALSE)="","-",VLOOKUP(#REF!,INDIRECT(#REF!),2,FALSE))</f>
        <v>13.936999999999999</v>
      </c>
      <c r="F41" s="85">
        <f ca="1">+IF(VLOOKUP(#REF!,INDIRECT(#REF!),2,FALSE)="","-",VLOOKUP(#REF!,INDIRECT(#REF!),2,FALSE))</f>
        <v>818.90930000000003</v>
      </c>
      <c r="G41" s="84">
        <f ca="1">+IF(VLOOKUP(#REF!,INDIRECT(#REF!),2,FALSE)="","-",VLOOKUP(#REF!,INDIRECT(#REF!),2,FALSE))</f>
        <v>5.1299999999999998E-2</v>
      </c>
      <c r="H41" s="85">
        <f ca="1">+IF(VLOOKUP(#REF!,INDIRECT(#REF!),2,FALSE)="","-",VLOOKUP(#REF!,INDIRECT(#REF!),2,FALSE))</f>
        <v>12</v>
      </c>
      <c r="I41" s="85">
        <f ca="1">+IF(VLOOKUP(#REF!,INDIRECT(#REF!),2,FALSE)="","-",VLOOKUP(#REF!,INDIRECT(#REF!),2,FALSE))</f>
        <v>19.2</v>
      </c>
      <c r="J41" s="84">
        <f ca="1">+IF(VLOOKUP(#REF!,INDIRECT(#REF!),2,FALSE)="","-",VLOOKUP(#REF!,INDIRECT(#REF!),2,FALSE))</f>
        <v>0.04</v>
      </c>
      <c r="K41" s="86">
        <f ca="1">+IF(VLOOKUP(#REF!,INDIRECT(#REF!),2,FALSE)="","-",VLOOKUP(#REF!,INDIRECT(#REF!),2,FALSE))</f>
        <v>32.200000000000003</v>
      </c>
      <c r="L41" s="85">
        <f ca="1">+IF(VLOOKUP(#REF!,INDIRECT(#REF!),2,FALSE)="","-",VLOOKUP(#REF!,INDIRECT(#REF!),2,FALSE))</f>
        <v>-76.099999999999994</v>
      </c>
      <c r="M41" s="86"/>
      <c r="N41" s="86">
        <f ca="1">+IF(VLOOKUP(#REF!,INDIRECT(#REF!),2,FALSE)="","-",VLOOKUP(#REF!,INDIRECT(#REF!),2,FALSE))</f>
        <v>20.58</v>
      </c>
      <c r="O41" s="86">
        <f ca="1">+IF(VLOOKUP(#REF!,INDIRECT(#REF!),2,FALSE)="","-",VLOOKUP(#REF!,INDIRECT(#REF!),2,FALSE))</f>
        <v>1.08</v>
      </c>
      <c r="P41" s="86"/>
      <c r="Q41" s="86"/>
      <c r="R41" s="87">
        <f ca="1">+IF(ISERROR(VLOOKUP(#REF!,INDIRECT(#REF!),2,FALSE)),"-",IF(VLOOKUP(#REF!,INDIRECT(#REF!),2,FALSE)="","-",VLOOKUP(#REF!,INDIRECT(#REF!),2,FALSE)))</f>
        <v>55</v>
      </c>
      <c r="S41" s="98"/>
    </row>
    <row r="42" spans="2:19" ht="11.1" customHeight="1" x14ac:dyDescent="0.2">
      <c r="B42" s="96"/>
      <c r="C42" s="83" t="s">
        <v>52</v>
      </c>
      <c r="D42" s="86">
        <f ca="1">+IF(VLOOKUP(#REF!,INDIRECT(#REF!),2,FALSE)="","-",VLOOKUP(#REF!,INDIRECT(#REF!),2,FALSE))</f>
        <v>8.7989999999999995</v>
      </c>
      <c r="E42" s="86">
        <f ca="1">+IF(VLOOKUP(#REF!,INDIRECT(#REF!),2,FALSE)="","-",VLOOKUP(#REF!,INDIRECT(#REF!),2,FALSE))</f>
        <v>9.0660000000000007</v>
      </c>
      <c r="F42" s="85">
        <f ca="1">+IF(VLOOKUP(#REF!,INDIRECT(#REF!),2,FALSE)="","-",VLOOKUP(#REF!,INDIRECT(#REF!),2,FALSE))</f>
        <v>829.26499999999999</v>
      </c>
      <c r="G42" s="84">
        <f ca="1">+IF(VLOOKUP(#REF!,INDIRECT(#REF!),2,FALSE)="","-",VLOOKUP(#REF!,INDIRECT(#REF!),2,FALSE))</f>
        <v>6.1100000000000002E-2</v>
      </c>
      <c r="H42" s="85">
        <f ca="1">+IF(VLOOKUP(#REF!,INDIRECT(#REF!),2,FALSE)="","-",VLOOKUP(#REF!,INDIRECT(#REF!),2,FALSE))</f>
        <v>12.3</v>
      </c>
      <c r="I42" s="85">
        <f ca="1">+IF(VLOOKUP(#REF!,INDIRECT(#REF!),2,FALSE)="","-",VLOOKUP(#REF!,INDIRECT(#REF!),2,FALSE))</f>
        <v>18.3</v>
      </c>
      <c r="J42" s="84">
        <f ca="1">+IF(VLOOKUP(#REF!,INDIRECT(#REF!),2,FALSE)="","-",VLOOKUP(#REF!,INDIRECT(#REF!),2,FALSE))</f>
        <v>4.9399999999999999E-2</v>
      </c>
      <c r="K42" s="86">
        <f ca="1">+IF(VLOOKUP(#REF!,INDIRECT(#REF!),2,FALSE)="","-",VLOOKUP(#REF!,INDIRECT(#REF!),2,FALSE))</f>
        <v>33</v>
      </c>
      <c r="L42" s="85">
        <f ca="1">+IF(VLOOKUP(#REF!,INDIRECT(#REF!),2,FALSE)="","-",VLOOKUP(#REF!,INDIRECT(#REF!),2,FALSE))</f>
        <v>-70</v>
      </c>
      <c r="M42" s="86"/>
      <c r="N42" s="86">
        <f ca="1">+IF(VLOOKUP(#REF!,INDIRECT(#REF!),2,FALSE)="","-",VLOOKUP(#REF!,INDIRECT(#REF!),2,FALSE))</f>
        <v>22.51</v>
      </c>
      <c r="O42" s="86">
        <f ca="1">+IF(VLOOKUP(#REF!,INDIRECT(#REF!),2,FALSE)="","-",VLOOKUP(#REF!,INDIRECT(#REF!),2,FALSE))</f>
        <v>1.21</v>
      </c>
      <c r="P42" s="86"/>
      <c r="Q42" s="86"/>
      <c r="R42" s="87">
        <f ca="1">+IF(ISERROR(VLOOKUP(#REF!,INDIRECT(#REF!),2,FALSE)),"-",IF(VLOOKUP(#REF!,INDIRECT(#REF!),2,FALSE)="","-",VLOOKUP(#REF!,INDIRECT(#REF!),2,FALSE)))</f>
        <v>69.599999999999994</v>
      </c>
      <c r="S42" s="98"/>
    </row>
    <row r="43" spans="2:19" ht="11.1" customHeight="1" x14ac:dyDescent="0.2">
      <c r="B43" s="88"/>
      <c r="C43" s="89" t="s">
        <v>53</v>
      </c>
      <c r="D43" s="90">
        <f ca="1">+IF(VLOOKUP(#REF!,INDIRECT(#REF!),2,FALSE)="","-",VLOOKUP(#REF!,INDIRECT(#REF!),2,FALSE))</f>
        <v>16.911000000000001</v>
      </c>
      <c r="E43" s="90">
        <f ca="1">+IF(VLOOKUP(#REF!,INDIRECT(#REF!),2,FALSE)="","-",VLOOKUP(#REF!,INDIRECT(#REF!),2,FALSE))</f>
        <v>17.507999999999999</v>
      </c>
      <c r="F43" s="100">
        <f ca="1">+IF(VLOOKUP(#REF!,INDIRECT(#REF!),2,FALSE)="","-",VLOOKUP(#REF!,INDIRECT(#REF!),2,FALSE))</f>
        <v>825.28440000000001</v>
      </c>
      <c r="G43" s="84">
        <f ca="1">+IF(VLOOKUP(#REF!,INDIRECT(#REF!),2,FALSE)="","-",VLOOKUP(#REF!,INDIRECT(#REF!),2,FALSE))</f>
        <v>5.9299999999999999E-2</v>
      </c>
      <c r="H43" s="85">
        <f ca="1">+IF(VLOOKUP(#REF!,INDIRECT(#REF!),2,FALSE)="","-",VLOOKUP(#REF!,INDIRECT(#REF!),2,FALSE))</f>
        <v>11.7</v>
      </c>
      <c r="I43" s="85">
        <f ca="1">+IF(VLOOKUP(#REF!,INDIRECT(#REF!),2,FALSE)="","-",VLOOKUP(#REF!,INDIRECT(#REF!),2,FALSE))</f>
        <v>18.5</v>
      </c>
      <c r="J43" s="84">
        <f ca="1">+IF(VLOOKUP(#REF!,INDIRECT(#REF!),2,FALSE)="","-",VLOOKUP(#REF!,INDIRECT(#REF!),2,FALSE))</f>
        <v>5.04E-2</v>
      </c>
      <c r="K43" s="86">
        <f ca="1">+IF(VLOOKUP(#REF!,INDIRECT(#REF!),2,FALSE)="","-",VLOOKUP(#REF!,INDIRECT(#REF!),2,FALSE))</f>
        <v>34.1</v>
      </c>
      <c r="L43" s="85">
        <f ca="1">+IF(VLOOKUP(#REF!,INDIRECT(#REF!),2,FALSE)="","-",VLOOKUP(#REF!,INDIRECT(#REF!),2,FALSE))</f>
        <v>-70.7</v>
      </c>
      <c r="M43" s="86"/>
      <c r="N43" s="86">
        <f ca="1">+IF(VLOOKUP(#REF!,INDIRECT(#REF!),2,FALSE)="","-",VLOOKUP(#REF!,INDIRECT(#REF!),2,FALSE))</f>
        <v>21.43</v>
      </c>
      <c r="O43" s="86">
        <f ca="1">+IF(VLOOKUP(#REF!,INDIRECT(#REF!),2,FALSE)="","-",VLOOKUP(#REF!,INDIRECT(#REF!),2,FALSE))</f>
        <v>1.18</v>
      </c>
      <c r="P43" s="86"/>
      <c r="Q43" s="86"/>
      <c r="R43" s="87">
        <f ca="1">+IF(ISERROR(VLOOKUP(#REF!,INDIRECT(#REF!),2,FALSE)),"-",IF(VLOOKUP(#REF!,INDIRECT(#REF!),2,FALSE)="","-",VLOOKUP(#REF!,INDIRECT(#REF!),2,FALSE)))</f>
        <v>58</v>
      </c>
      <c r="S43" s="98"/>
    </row>
    <row r="44" spans="2:19" ht="11.1" customHeight="1" x14ac:dyDescent="0.2">
      <c r="B44" s="80"/>
      <c r="C44" s="2" t="s">
        <v>22</v>
      </c>
      <c r="D44" s="92" t="s">
        <v>23</v>
      </c>
      <c r="E44" s="92" t="s">
        <v>23</v>
      </c>
      <c r="F44" s="3" t="s">
        <v>24</v>
      </c>
      <c r="G44" s="101" t="s">
        <v>25</v>
      </c>
      <c r="H44" s="3"/>
      <c r="I44" s="2" t="s">
        <v>54</v>
      </c>
      <c r="J44" s="2"/>
      <c r="K44" s="94" t="s">
        <v>45</v>
      </c>
      <c r="L44" s="2" t="s">
        <v>55</v>
      </c>
      <c r="M44" s="2" t="s">
        <v>56</v>
      </c>
      <c r="N44" s="2" t="s">
        <v>57</v>
      </c>
      <c r="O44" s="2" t="s">
        <v>46</v>
      </c>
      <c r="P44" s="2" t="s">
        <v>46</v>
      </c>
      <c r="Q44" s="2" t="s">
        <v>93</v>
      </c>
      <c r="R44" s="4" t="s">
        <v>47</v>
      </c>
      <c r="S44" s="98"/>
    </row>
    <row r="45" spans="2:19" ht="11.1" customHeight="1" x14ac:dyDescent="0.2">
      <c r="B45" s="25" t="s">
        <v>58</v>
      </c>
      <c r="C45" s="81" t="s">
        <v>4</v>
      </c>
      <c r="D45" s="110" t="s">
        <v>5</v>
      </c>
      <c r="E45" s="110" t="s">
        <v>31</v>
      </c>
      <c r="F45" s="111" t="s">
        <v>88</v>
      </c>
      <c r="G45" s="114" t="s">
        <v>5</v>
      </c>
      <c r="H45" s="111"/>
      <c r="I45" s="81" t="s">
        <v>59</v>
      </c>
      <c r="J45" s="81"/>
      <c r="K45" s="112" t="s">
        <v>100</v>
      </c>
      <c r="L45" s="81" t="s">
        <v>60</v>
      </c>
      <c r="M45" s="81" t="s">
        <v>60</v>
      </c>
      <c r="N45" s="81" t="s">
        <v>60</v>
      </c>
      <c r="O45" s="81" t="s">
        <v>50</v>
      </c>
      <c r="P45" s="81" t="s">
        <v>61</v>
      </c>
      <c r="Q45" s="110"/>
      <c r="R45" s="82" t="s">
        <v>49</v>
      </c>
      <c r="S45" s="98"/>
    </row>
    <row r="46" spans="2:19" ht="11.1" customHeight="1" x14ac:dyDescent="0.2">
      <c r="B46" s="96"/>
      <c r="C46" s="83" t="s">
        <v>62</v>
      </c>
      <c r="D46" s="86">
        <f ca="1">+IF(VLOOKUP(#REF!,INDIRECT(#REF!),2,FALSE)="","-",VLOOKUP(#REF!,INDIRECT(#REF!),2,FALSE))</f>
        <v>39.595999999999997</v>
      </c>
      <c r="E46" s="86">
        <f ca="1">+IF(VLOOKUP(#REF!,INDIRECT(#REF!),2,FALSE)="","-",VLOOKUP(#REF!,INDIRECT(#REF!),2,FALSE))</f>
        <v>39.067999999999998</v>
      </c>
      <c r="F46" s="85">
        <f ca="1">+IF(VLOOKUP(#REF!,INDIRECT(#REF!),2,FALSE)="","-",VLOOKUP(#REF!,INDIRECT(#REF!),2,FALSE))</f>
        <v>865.97900000000004</v>
      </c>
      <c r="G46" s="84">
        <f ca="1">+IF(VLOOKUP(#REF!,INDIRECT(#REF!),2,FALSE)="","-",VLOOKUP(#REF!,INDIRECT(#REF!),2,FALSE))</f>
        <v>0.17899999999999999</v>
      </c>
      <c r="H46" s="85"/>
      <c r="I46" s="85">
        <f ca="1">+IF(VLOOKUP(#REF!,INDIRECT(#REF!),2,FALSE)="","-",VLOOKUP(#REF!,INDIRECT(#REF!),2,FALSE))</f>
        <v>61.8</v>
      </c>
      <c r="J46" s="86"/>
      <c r="K46" s="86">
        <f ca="1">+IF(VLOOKUP(#REF!,INDIRECT(#REF!),2,FALSE)="","-",VLOOKUP(#REF!,INDIRECT(#REF!),2,FALSE))</f>
        <v>44.2</v>
      </c>
      <c r="L46" s="85">
        <f ca="1">+IF(VLOOKUP(#REF!,INDIRECT(#REF!),2,FALSE)="","-",VLOOKUP(#REF!,INDIRECT(#REF!),2,FALSE))</f>
        <v>-22.5</v>
      </c>
      <c r="M46" s="85">
        <f ca="1">+(L46+N46)/2</f>
        <v>-26.05</v>
      </c>
      <c r="N46" s="85">
        <f ca="1">+IF(VLOOKUP(#REF!,INDIRECT(#REF!),2,FALSE)="","-",VLOOKUP(#REF!,INDIRECT(#REF!),2,FALSE))</f>
        <v>-29.6</v>
      </c>
      <c r="O46" s="86">
        <f ca="1">+IF(VLOOKUP(#REF!,INDIRECT(#REF!),2,FALSE)="","-",VLOOKUP(#REF!,INDIRECT(#REF!),2,FALSE))</f>
        <v>3.02</v>
      </c>
      <c r="P46" s="86">
        <f ca="1">+IF(VLOOKUP(#REF!,INDIRECT(#REF!),2,FALSE)="","-",VLOOKUP(#REF!,INDIRECT(#REF!),2,FALSE))</f>
        <v>1.35</v>
      </c>
      <c r="Q46" s="102">
        <f ca="1">+IF(VLOOKUP(#REF!,INDIRECT(#REF!),2,FALSE)="","-",VLOOKUP(#REF!,INDIRECT(#REF!),2,FALSE))</f>
        <v>11.57</v>
      </c>
      <c r="R46" s="87">
        <f ca="1">+IF(ISERROR(VLOOKUP(#REF!,INDIRECT(#REF!),2,FALSE)),"-",IF(VLOOKUP(#REF!,INDIRECT(#REF!),2,FALSE)="","-",VLOOKUP(#REF!,INDIRECT(#REF!),2,FALSE)))</f>
        <v>83.1</v>
      </c>
      <c r="S46" s="98"/>
    </row>
    <row r="47" spans="2:19" ht="11.1" customHeight="1" x14ac:dyDescent="0.2">
      <c r="B47" s="96"/>
      <c r="C47" s="83" t="s">
        <v>63</v>
      </c>
      <c r="D47" s="86">
        <f ca="1">+IF(VLOOKUP(#REF!,INDIRECT(#REF!),2,FALSE)="","-",VLOOKUP(#REF!,INDIRECT(#REF!),2,FALSE))</f>
        <v>30.797999999999998</v>
      </c>
      <c r="E47" s="86">
        <f ca="1">+IF(VLOOKUP(#REF!,INDIRECT(#REF!),2,FALSE)="","-",VLOOKUP(#REF!,INDIRECT(#REF!),2,FALSE))</f>
        <v>30.001999999999999</v>
      </c>
      <c r="F47" s="85">
        <f ca="1">+IF(VLOOKUP(#REF!,INDIRECT(#REF!),2,FALSE)="","-",VLOOKUP(#REF!,INDIRECT(#REF!),2,FALSE))</f>
        <v>877.07280000000003</v>
      </c>
      <c r="G47" s="84">
        <f ca="1">+IF(VLOOKUP(#REF!,INDIRECT(#REF!),2,FALSE)="","-",VLOOKUP(#REF!,INDIRECT(#REF!),2,FALSE))</f>
        <v>0.21299999999999999</v>
      </c>
      <c r="H47" s="85"/>
      <c r="I47" s="85">
        <f ca="1">+IF(VLOOKUP(#REF!,INDIRECT(#REF!),2,FALSE)="","-",VLOOKUP(#REF!,INDIRECT(#REF!),2,FALSE))</f>
        <v>65.3</v>
      </c>
      <c r="J47" s="86"/>
      <c r="K47" s="86">
        <f ca="1">+IF(VLOOKUP(#REF!,INDIRECT(#REF!),2,FALSE)="","-",VLOOKUP(#REF!,INDIRECT(#REF!),2,FALSE))</f>
        <v>46.8</v>
      </c>
      <c r="L47" s="85">
        <f ca="1">+IF(VLOOKUP(#REF!,INDIRECT(#REF!),2,FALSE)="","-",VLOOKUP(#REF!,INDIRECT(#REF!),2,FALSE))</f>
        <v>-18.8</v>
      </c>
      <c r="M47" s="85">
        <f ca="1">+(L47+N47)/2</f>
        <v>-19.899999999999999</v>
      </c>
      <c r="N47" s="85">
        <f ca="1">+IF(VLOOKUP(#REF!,INDIRECT(#REF!),2,FALSE)="","-",VLOOKUP(#REF!,INDIRECT(#REF!),2,FALSE))</f>
        <v>-21</v>
      </c>
      <c r="O47" s="86">
        <f ca="1">+IF(VLOOKUP(#REF!,INDIRECT(#REF!),2,FALSE)="","-",VLOOKUP(#REF!,INDIRECT(#REF!),2,FALSE))</f>
        <v>4.2300000000000004</v>
      </c>
      <c r="P47" s="86">
        <f ca="1">+IF(VLOOKUP(#REF!,INDIRECT(#REF!),2,FALSE)="","-",VLOOKUP(#REF!,INDIRECT(#REF!),2,FALSE))</f>
        <v>1.7</v>
      </c>
      <c r="Q47" s="102">
        <f ca="1">+IF(VLOOKUP(#REF!,INDIRECT(#REF!),2,FALSE)="","-",VLOOKUP(#REF!,INDIRECT(#REF!),2,FALSE))</f>
        <v>11.59</v>
      </c>
      <c r="R47" s="87">
        <f ca="1">+IF(ISERROR(VLOOKUP(#REF!,INDIRECT(#REF!),2,FALSE)),"-",IF(VLOOKUP(#REF!,INDIRECT(#REF!),2,FALSE)="","-",VLOOKUP(#REF!,INDIRECT(#REF!),2,FALSE)))</f>
        <v>106.6</v>
      </c>
      <c r="S47" s="98"/>
    </row>
    <row r="48" spans="2:19" ht="11.1" customHeight="1" x14ac:dyDescent="0.2">
      <c r="B48" s="88"/>
      <c r="C48" s="89" t="s">
        <v>64</v>
      </c>
      <c r="D48" s="90">
        <f ca="1">+IF(VLOOKUP(#REF!,INDIRECT(#REF!),2,FALSE)="","-",VLOOKUP(#REF!,INDIRECT(#REF!),2,FALSE))</f>
        <v>26.507000000000001</v>
      </c>
      <c r="E48" s="90">
        <f ca="1">+IF(VLOOKUP(#REF!,INDIRECT(#REF!),2,FALSE)="","-",VLOOKUP(#REF!,INDIRECT(#REF!),2,FALSE))</f>
        <v>25.963999999999999</v>
      </c>
      <c r="F48" s="100">
        <f ca="1">+IF(VLOOKUP(#REF!,INDIRECT(#REF!),2,FALSE)="","-",VLOOKUP(#REF!,INDIRECT(#REF!),2,FALSE))</f>
        <v>872.27980000000002</v>
      </c>
      <c r="G48" s="84">
        <f ca="1">+IF(VLOOKUP(#REF!,INDIRECT(#REF!),2,FALSE)="","-",VLOOKUP(#REF!,INDIRECT(#REF!),2,FALSE))</f>
        <v>0.193</v>
      </c>
      <c r="H48" s="100"/>
      <c r="I48" s="85">
        <f ca="1">+IF(VLOOKUP(#REF!,INDIRECT(#REF!),2,FALSE)="","-",VLOOKUP(#REF!,INDIRECT(#REF!),2,FALSE))</f>
        <v>63.7</v>
      </c>
      <c r="J48" s="90"/>
      <c r="K48" s="90">
        <f ca="1">+IF(VLOOKUP(#REF!,INDIRECT(#REF!),2,FALSE)="","-",VLOOKUP(#REF!,INDIRECT(#REF!),2,FALSE))</f>
        <v>46.4</v>
      </c>
      <c r="L48" s="85">
        <f ca="1">+IF(VLOOKUP(#REF!,INDIRECT(#REF!),2,FALSE)="","-",VLOOKUP(#REF!,INDIRECT(#REF!),2,FALSE))</f>
        <v>-24.9</v>
      </c>
      <c r="M48" s="85">
        <f ca="1">+(L48+N48)/2</f>
        <v>-25.799999999999997</v>
      </c>
      <c r="N48" s="85">
        <f ca="1">+IF(VLOOKUP(#REF!,INDIRECT(#REF!),2,FALSE)="","-",VLOOKUP(#REF!,INDIRECT(#REF!),2,FALSE))</f>
        <v>-26.7</v>
      </c>
      <c r="O48" s="86">
        <f ca="1">+IF(VLOOKUP(#REF!,INDIRECT(#REF!),2,FALSE)="","-",VLOOKUP(#REF!,INDIRECT(#REF!),2,FALSE))</f>
        <v>3.56</v>
      </c>
      <c r="P48" s="86">
        <f ca="1">+IF(VLOOKUP(#REF!,INDIRECT(#REF!),2,FALSE)="","-",VLOOKUP(#REF!,INDIRECT(#REF!),2,FALSE))</f>
        <v>1.51</v>
      </c>
      <c r="Q48" s="102">
        <f ca="1">+IF(VLOOKUP(#REF!,INDIRECT(#REF!),2,FALSE)="","-",VLOOKUP(#REF!,INDIRECT(#REF!),2,FALSE))</f>
        <v>11.58</v>
      </c>
      <c r="R48" s="87">
        <f ca="1">+IF(ISERROR(VLOOKUP(#REF!,INDIRECT(#REF!),2,FALSE)),"-",IF(VLOOKUP(#REF!,INDIRECT(#REF!),2,FALSE)="","-",VLOOKUP(#REF!,INDIRECT(#REF!),2,FALSE)))</f>
        <v>104.9</v>
      </c>
      <c r="S48" s="98"/>
    </row>
    <row r="49" spans="2:19" ht="11.1" customHeight="1" x14ac:dyDescent="0.2">
      <c r="B49" s="80"/>
      <c r="C49" s="2" t="s">
        <v>22</v>
      </c>
      <c r="D49" s="92" t="s">
        <v>23</v>
      </c>
      <c r="E49" s="92" t="s">
        <v>23</v>
      </c>
      <c r="F49" s="3" t="s">
        <v>24</v>
      </c>
      <c r="G49" s="103" t="s">
        <v>25</v>
      </c>
      <c r="H49" s="2" t="s">
        <v>65</v>
      </c>
      <c r="I49" s="2" t="s">
        <v>54</v>
      </c>
      <c r="J49" s="2" t="s">
        <v>66</v>
      </c>
      <c r="K49" s="2" t="s">
        <v>91</v>
      </c>
      <c r="L49" s="2" t="s">
        <v>67</v>
      </c>
      <c r="M49" s="2" t="s">
        <v>68</v>
      </c>
      <c r="N49" s="2" t="s">
        <v>57</v>
      </c>
      <c r="O49" s="2" t="s">
        <v>46</v>
      </c>
      <c r="P49" s="2" t="s">
        <v>46</v>
      </c>
      <c r="Q49" s="92" t="s">
        <v>93</v>
      </c>
      <c r="R49" s="4" t="s">
        <v>69</v>
      </c>
      <c r="S49" s="98"/>
    </row>
    <row r="50" spans="2:19" ht="11.1" customHeight="1" x14ac:dyDescent="0.2">
      <c r="B50" s="25" t="s">
        <v>70</v>
      </c>
      <c r="C50" s="81" t="s">
        <v>4</v>
      </c>
      <c r="D50" s="110" t="s">
        <v>5</v>
      </c>
      <c r="E50" s="110" t="s">
        <v>31</v>
      </c>
      <c r="F50" s="111" t="s">
        <v>88</v>
      </c>
      <c r="G50" s="115" t="s">
        <v>5</v>
      </c>
      <c r="H50" s="116" t="s">
        <v>5</v>
      </c>
      <c r="I50" s="81" t="s">
        <v>59</v>
      </c>
      <c r="J50" s="81" t="s">
        <v>32</v>
      </c>
      <c r="K50" s="81" t="s">
        <v>32</v>
      </c>
      <c r="L50" s="116" t="s">
        <v>5</v>
      </c>
      <c r="M50" s="81" t="s">
        <v>32</v>
      </c>
      <c r="N50" s="81" t="s">
        <v>60</v>
      </c>
      <c r="O50" s="81" t="s">
        <v>61</v>
      </c>
      <c r="P50" s="81" t="s">
        <v>71</v>
      </c>
      <c r="Q50" s="117"/>
      <c r="R50" s="82" t="s">
        <v>72</v>
      </c>
      <c r="S50" s="98"/>
    </row>
    <row r="51" spans="2:19" ht="11.1" customHeight="1" x14ac:dyDescent="0.2">
      <c r="B51" s="25" t="s">
        <v>73</v>
      </c>
      <c r="C51" s="83" t="s">
        <v>74</v>
      </c>
      <c r="D51" s="86">
        <f ca="1">+IF(VLOOKUP(#REF!,INDIRECT(#REF!),2,FALSE)="","-",VLOOKUP(#REF!,INDIRECT(#REF!),2,FALSE))</f>
        <v>25.606000000000002</v>
      </c>
      <c r="E51" s="86">
        <f ca="1">+IF(VLOOKUP(#REF!,INDIRECT(#REF!),2,FALSE)="","-",VLOOKUP(#REF!,INDIRECT(#REF!),2,FALSE))</f>
        <v>23.675999999999998</v>
      </c>
      <c r="F51" s="85">
        <f ca="1">+IF(VLOOKUP(#REF!,INDIRECT(#REF!),2,FALSE)="","-",VLOOKUP(#REF!,INDIRECT(#REF!),2,FALSE))</f>
        <v>924.05759999999998</v>
      </c>
      <c r="G51" s="84">
        <f ca="1">+IF(VLOOKUP(#REF!,INDIRECT(#REF!),2,FALSE)="","-",VLOOKUP(#REF!,INDIRECT(#REF!),2,FALSE))</f>
        <v>0.38600000000000001</v>
      </c>
      <c r="H51" s="86">
        <f ca="1">+IF(VLOOKUP(#REF!,INDIRECT(#REF!),2,FALSE)="","-",VLOOKUP(#REF!,INDIRECT(#REF!),2,FALSE))</f>
        <v>0.214</v>
      </c>
      <c r="I51" s="85">
        <f ca="1">+IF(VLOOKUP(#REF!,INDIRECT(#REF!),2,FALSE)="","-",VLOOKUP(#REF!,INDIRECT(#REF!),2,FALSE))</f>
        <v>86.5</v>
      </c>
      <c r="J51" s="85">
        <f ca="1">+IF(VLOOKUP(#REF!,INDIRECT(#REF!),2,FALSE)="","-",VLOOKUP(#REF!,INDIRECT(#REF!),2,FALSE))</f>
        <v>0.123</v>
      </c>
      <c r="K51" s="85">
        <f ca="1">+IF(VLOOKUP(#REF!,INDIRECT(#REF!),2,FALSE)="","-",VLOOKUP(#REF!,INDIRECT(#REF!),2,FALSE))</f>
        <v>1.41E-2</v>
      </c>
      <c r="L51" s="84">
        <f ca="1">+IF(VLOOKUP(#REF!,INDIRECT(#REF!),2,FALSE)="","-",VLOOKUP(#REF!,INDIRECT(#REF!),2,FALSE))</f>
        <v>0.15</v>
      </c>
      <c r="M51" s="85">
        <f ca="1">+IF(VLOOKUP(#REF!,INDIRECT(#REF!),2,FALSE)="","-",VLOOKUP(#REF!,INDIRECT(#REF!),2,FALSE))</f>
        <v>610</v>
      </c>
      <c r="N51" s="85">
        <f ca="1">+IF(VLOOKUP(#REF!,INDIRECT(#REF!),2,FALSE)="","-",VLOOKUP(#REF!,INDIRECT(#REF!),2,FALSE))</f>
        <v>26.5</v>
      </c>
      <c r="O51" s="86">
        <f ca="1">+IF(VLOOKUP(#REF!,INDIRECT(#REF!),2,FALSE)="","-",VLOOKUP(#REF!,INDIRECT(#REF!),2,FALSE))</f>
        <v>10.7</v>
      </c>
      <c r="P51" s="86">
        <f ca="1">+IF(VLOOKUP(#REF!,INDIRECT(#REF!),2,FALSE)="","-",VLOOKUP(#REF!,INDIRECT(#REF!),2,FALSE))</f>
        <v>3.61</v>
      </c>
      <c r="Q51" s="86">
        <f ca="1">+IF(VLOOKUP(#REF!,INDIRECT(#REF!),2,FALSE)="","-",VLOOKUP(#REF!,INDIRECT(#REF!),2,FALSE))</f>
        <v>11.84</v>
      </c>
      <c r="R51" s="87">
        <f ca="1">+IF(VLOOKUP(#REF!,INDIRECT(#REF!),2,FALSE)="","-",VLOOKUP(#REF!,INDIRECT(#REF!),2,FALSE))</f>
        <v>7.4200000000000004E-3</v>
      </c>
      <c r="S51" s="98"/>
    </row>
    <row r="52" spans="2:19" ht="11.1" customHeight="1" x14ac:dyDescent="0.2">
      <c r="B52" s="96"/>
      <c r="C52" s="83" t="s">
        <v>75</v>
      </c>
      <c r="D52" s="86">
        <f ca="1">+IF(VLOOKUP(#REF!,INDIRECT(#REF!),2,FALSE)="","-",VLOOKUP(#REF!,INDIRECT(#REF!),2,FALSE))</f>
        <v>27.14</v>
      </c>
      <c r="E52" s="86">
        <f ca="1">+IF(VLOOKUP(#REF!,INDIRECT(#REF!),2,FALSE)="","-",VLOOKUP(#REF!,INDIRECT(#REF!),2,FALSE))</f>
        <v>25.061</v>
      </c>
      <c r="F52" s="85">
        <f ca="1">+IF(VLOOKUP(#REF!,INDIRECT(#REF!),2,FALSE)="","-",VLOOKUP(#REF!,INDIRECT(#REF!),2,FALSE))</f>
        <v>925.27539999999999</v>
      </c>
      <c r="G52" s="84">
        <f ca="1">+IF(VLOOKUP(#REF!,INDIRECT(#REF!),2,FALSE)="","-",VLOOKUP(#REF!,INDIRECT(#REF!),2,FALSE))</f>
        <v>0.39300000000000002</v>
      </c>
      <c r="H52" s="86">
        <f ca="1">+IF(VLOOKUP(#REF!,INDIRECT(#REF!),2,FALSE)="","-",VLOOKUP(#REF!,INDIRECT(#REF!),2,FALSE))</f>
        <v>0.307</v>
      </c>
      <c r="I52" s="85">
        <f ca="1">+IF(VLOOKUP(#REF!,INDIRECT(#REF!),2,FALSE)="","-",VLOOKUP(#REF!,INDIRECT(#REF!),2,FALSE))</f>
        <v>87.2</v>
      </c>
      <c r="J52" s="85">
        <f ca="1">+IF(VLOOKUP(#REF!,INDIRECT(#REF!),2,FALSE)="","-",VLOOKUP(#REF!,INDIRECT(#REF!),2,FALSE))</f>
        <v>0.24</v>
      </c>
      <c r="K52" s="85">
        <f ca="1">+IF(VLOOKUP(#REF!,INDIRECT(#REF!),2,FALSE)="","-",VLOOKUP(#REF!,INDIRECT(#REF!),2,FALSE))</f>
        <v>2.7699999999999999E-2</v>
      </c>
      <c r="L52" s="84">
        <f ca="1">+IF(VLOOKUP(#REF!,INDIRECT(#REF!),2,FALSE)="","-",VLOOKUP(#REF!,INDIRECT(#REF!),2,FALSE))</f>
        <v>0.159</v>
      </c>
      <c r="M52" s="85">
        <f ca="1">+IF(VLOOKUP(#REF!,INDIRECT(#REF!),2,FALSE)="","-",VLOOKUP(#REF!,INDIRECT(#REF!),2,FALSE))</f>
        <v>639</v>
      </c>
      <c r="N52" s="85">
        <f ca="1">+IF(VLOOKUP(#REF!,INDIRECT(#REF!),2,FALSE)="","-",VLOOKUP(#REF!,INDIRECT(#REF!),2,FALSE))</f>
        <v>27.5</v>
      </c>
      <c r="O52" s="86">
        <f ca="1">+IF(VLOOKUP(#REF!,INDIRECT(#REF!),2,FALSE)="","-",VLOOKUP(#REF!,INDIRECT(#REF!),2,FALSE))</f>
        <v>11.5</v>
      </c>
      <c r="P52" s="86">
        <f ca="1">+IF(VLOOKUP(#REF!,INDIRECT(#REF!),2,FALSE)="","-",VLOOKUP(#REF!,INDIRECT(#REF!),2,FALSE))</f>
        <v>3.81</v>
      </c>
      <c r="Q52" s="86">
        <f ca="1">+IF(VLOOKUP(#REF!,INDIRECT(#REF!),2,FALSE)="","-",VLOOKUP(#REF!,INDIRECT(#REF!),2,FALSE))</f>
        <v>11.85</v>
      </c>
      <c r="R52" s="87">
        <f ca="1">+IF(VLOOKUP(#REF!,INDIRECT(#REF!),2,FALSE)="","-",VLOOKUP(#REF!,INDIRECT(#REF!),2,FALSE))</f>
        <v>1.01E-2</v>
      </c>
      <c r="S52" s="98"/>
    </row>
    <row r="53" spans="2:19" ht="11.1" customHeight="1" x14ac:dyDescent="0.2">
      <c r="B53" s="96"/>
      <c r="C53" s="83" t="s">
        <v>76</v>
      </c>
      <c r="D53" s="86">
        <f ca="1">+IF(VLOOKUP(#REF!,INDIRECT(#REF!),2,FALSE)="","-",VLOOKUP(#REF!,INDIRECT(#REF!),2,FALSE))</f>
        <v>28.561</v>
      </c>
      <c r="E53" s="86">
        <f ca="1">+IF(VLOOKUP(#REF!,INDIRECT(#REF!),2,FALSE)="","-",VLOOKUP(#REF!,INDIRECT(#REF!),2,FALSE))</f>
        <v>26.34</v>
      </c>
      <c r="F53" s="85">
        <f ca="1">+IF(VLOOKUP(#REF!,INDIRECT(#REF!),2,FALSE)="","-",VLOOKUP(#REF!,INDIRECT(#REF!),2,FALSE))</f>
        <v>926.46209999999996</v>
      </c>
      <c r="G53" s="84">
        <f ca="1">+IF(VLOOKUP(#REF!,INDIRECT(#REF!),2,FALSE)="","-",VLOOKUP(#REF!,INDIRECT(#REF!),2,FALSE))</f>
        <v>0.4</v>
      </c>
      <c r="H53" s="86">
        <f ca="1">+IF(VLOOKUP(#REF!,INDIRECT(#REF!),2,FALSE)="","-",VLOOKUP(#REF!,INDIRECT(#REF!),2,FALSE))</f>
        <v>0.41699999999999998</v>
      </c>
      <c r="I53" s="85">
        <f ca="1">+IF(VLOOKUP(#REF!,INDIRECT(#REF!),2,FALSE)="","-",VLOOKUP(#REF!,INDIRECT(#REF!),2,FALSE))</f>
        <v>87.8</v>
      </c>
      <c r="J53" s="85">
        <f ca="1">+IF(VLOOKUP(#REF!,INDIRECT(#REF!),2,FALSE)="","-",VLOOKUP(#REF!,INDIRECT(#REF!),2,FALSE))</f>
        <v>0.40100000000000002</v>
      </c>
      <c r="K53" s="85">
        <f ca="1">+IF(VLOOKUP(#REF!,INDIRECT(#REF!),2,FALSE)="","-",VLOOKUP(#REF!,INDIRECT(#REF!),2,FALSE))</f>
        <v>4.65E-2</v>
      </c>
      <c r="L53" s="84">
        <f ca="1">+IF(VLOOKUP(#REF!,INDIRECT(#REF!),2,FALSE)="","-",VLOOKUP(#REF!,INDIRECT(#REF!),2,FALSE))</f>
        <v>0.16700000000000001</v>
      </c>
      <c r="M53" s="85">
        <f ca="1">+IF(VLOOKUP(#REF!,INDIRECT(#REF!),2,FALSE)="","-",VLOOKUP(#REF!,INDIRECT(#REF!),2,FALSE))</f>
        <v>667</v>
      </c>
      <c r="N53" s="85">
        <f ca="1">+IF(VLOOKUP(#REF!,INDIRECT(#REF!),2,FALSE)="","-",VLOOKUP(#REF!,INDIRECT(#REF!),2,FALSE))</f>
        <v>28.5</v>
      </c>
      <c r="O53" s="86">
        <f ca="1">+IF(VLOOKUP(#REF!,INDIRECT(#REF!),2,FALSE)="","-",VLOOKUP(#REF!,INDIRECT(#REF!),2,FALSE))</f>
        <v>12.3</v>
      </c>
      <c r="P53" s="86">
        <f ca="1">+IF(VLOOKUP(#REF!,INDIRECT(#REF!),2,FALSE)="","-",VLOOKUP(#REF!,INDIRECT(#REF!),2,FALSE))</f>
        <v>4.0199999999999996</v>
      </c>
      <c r="Q53" s="86">
        <f ca="1">+IF(VLOOKUP(#REF!,INDIRECT(#REF!),2,FALSE)="","-",VLOOKUP(#REF!,INDIRECT(#REF!),2,FALSE))</f>
        <v>11.86</v>
      </c>
      <c r="R53" s="87">
        <f ca="1">+IF(VLOOKUP(#REF!,INDIRECT(#REF!),2,FALSE)="","-",VLOOKUP(#REF!,INDIRECT(#REF!),2,FALSE))</f>
        <v>1.32E-2</v>
      </c>
      <c r="S53" s="98"/>
    </row>
    <row r="54" spans="2:19" ht="11.1" customHeight="1" x14ac:dyDescent="0.2">
      <c r="B54" s="96"/>
      <c r="C54" s="83" t="s">
        <v>77</v>
      </c>
      <c r="D54" s="86">
        <f ca="1">+IF(VLOOKUP(#REF!,INDIRECT(#REF!),2,FALSE)="","-",VLOOKUP(#REF!,INDIRECT(#REF!),2,FALSE))</f>
        <v>24.271000000000001</v>
      </c>
      <c r="E54" s="86">
        <f ca="1">+IF(VLOOKUP(#REF!,INDIRECT(#REF!),2,FALSE)="","-",VLOOKUP(#REF!,INDIRECT(#REF!),2,FALSE))</f>
        <v>22.303000000000001</v>
      </c>
      <c r="F54" s="85">
        <f ca="1">+IF(VLOOKUP(#REF!,INDIRECT(#REF!),2,FALSE)="","-",VLOOKUP(#REF!,INDIRECT(#REF!),2,FALSE))</f>
        <v>929.82410000000004</v>
      </c>
      <c r="G54" s="84">
        <f ca="1">+IF(VLOOKUP(#REF!,INDIRECT(#REF!),2,FALSE)="","-",VLOOKUP(#REF!,INDIRECT(#REF!),2,FALSE))</f>
        <v>0.41199999999999998</v>
      </c>
      <c r="H54" s="86">
        <f ca="1">+IF(VLOOKUP(#REF!,INDIRECT(#REF!),2,FALSE)="","-",VLOOKUP(#REF!,INDIRECT(#REF!),2,FALSE))</f>
        <v>0.49099999999999999</v>
      </c>
      <c r="I54" s="85">
        <f ca="1">+IF(VLOOKUP(#REF!,INDIRECT(#REF!),2,FALSE)="","-",VLOOKUP(#REF!,INDIRECT(#REF!),2,FALSE))</f>
        <v>90</v>
      </c>
      <c r="J54" s="100">
        <f ca="1">+IF(VLOOKUP(#REF!,INDIRECT(#REF!),2,FALSE)="","-",VLOOKUP(#REF!,INDIRECT(#REF!),2,FALSE))</f>
        <v>0.47199999999999998</v>
      </c>
      <c r="K54" s="100">
        <f ca="1">+IF(VLOOKUP(#REF!,INDIRECT(#REF!),2,FALSE)="","-",VLOOKUP(#REF!,INDIRECT(#REF!),2,FALSE))</f>
        <v>5.4800000000000001E-2</v>
      </c>
      <c r="L54" s="99">
        <f ca="1">+IF(VLOOKUP(#REF!,INDIRECT(#REF!),2,FALSE)="","-",VLOOKUP(#REF!,INDIRECT(#REF!),2,FALSE))</f>
        <v>0.184</v>
      </c>
      <c r="M54" s="100">
        <f ca="1">+IF(VLOOKUP(#REF!,INDIRECT(#REF!),2,FALSE)="","-",VLOOKUP(#REF!,INDIRECT(#REF!),2,FALSE))</f>
        <v>729</v>
      </c>
      <c r="N54" s="100">
        <f ca="1">+IF(VLOOKUP(#REF!,INDIRECT(#REF!),2,FALSE)="","-",VLOOKUP(#REF!,INDIRECT(#REF!),2,FALSE))</f>
        <v>31.7</v>
      </c>
      <c r="O54" s="90">
        <f ca="1">+IF(VLOOKUP(#REF!,INDIRECT(#REF!),2,FALSE)="","-",VLOOKUP(#REF!,INDIRECT(#REF!),2,FALSE))</f>
        <v>15.6</v>
      </c>
      <c r="P54" s="90">
        <f ca="1">+IF(VLOOKUP(#REF!,INDIRECT(#REF!),2,FALSE)="","-",VLOOKUP(#REF!,INDIRECT(#REF!),2,FALSE))</f>
        <v>4.76</v>
      </c>
      <c r="Q54" s="86">
        <f ca="1">+IF(VLOOKUP(#REF!,INDIRECT(#REF!),2,FALSE)="","-",VLOOKUP(#REF!,INDIRECT(#REF!),2,FALSE))</f>
        <v>11.9</v>
      </c>
      <c r="R54" s="87">
        <f ca="1">+IF(VLOOKUP(#REF!,INDIRECT(#REF!),2,FALSE)="","-",VLOOKUP(#REF!,INDIRECT(#REF!),2,FALSE))</f>
        <v>1.55E-2</v>
      </c>
      <c r="S54" s="98"/>
    </row>
    <row r="55" spans="2:19" ht="11.1" customHeight="1" x14ac:dyDescent="0.2">
      <c r="B55" s="80"/>
      <c r="C55" s="2" t="s">
        <v>22</v>
      </c>
      <c r="D55" s="92" t="s">
        <v>23</v>
      </c>
      <c r="E55" s="92" t="s">
        <v>23</v>
      </c>
      <c r="F55" s="3" t="s">
        <v>24</v>
      </c>
      <c r="G55" s="92" t="s">
        <v>25</v>
      </c>
      <c r="H55" s="2" t="s">
        <v>65</v>
      </c>
      <c r="I55" s="2" t="s">
        <v>44</v>
      </c>
      <c r="J55" s="2" t="s">
        <v>66</v>
      </c>
      <c r="K55" s="2" t="s">
        <v>91</v>
      </c>
      <c r="L55" s="2" t="s">
        <v>67</v>
      </c>
      <c r="M55" s="2"/>
      <c r="N55" s="2" t="s">
        <v>57</v>
      </c>
      <c r="O55" s="2" t="s">
        <v>46</v>
      </c>
      <c r="P55" s="2" t="s">
        <v>46</v>
      </c>
      <c r="Q55" s="2" t="s">
        <v>78</v>
      </c>
      <c r="R55" s="4" t="s">
        <v>69</v>
      </c>
      <c r="S55" s="98"/>
    </row>
    <row r="56" spans="2:19" ht="11.1" customHeight="1" x14ac:dyDescent="0.2">
      <c r="B56" s="25" t="s">
        <v>79</v>
      </c>
      <c r="C56" s="81" t="s">
        <v>4</v>
      </c>
      <c r="D56" s="110" t="s">
        <v>5</v>
      </c>
      <c r="E56" s="110" t="s">
        <v>31</v>
      </c>
      <c r="F56" s="111" t="s">
        <v>88</v>
      </c>
      <c r="G56" s="110" t="s">
        <v>5</v>
      </c>
      <c r="H56" s="81" t="s">
        <v>5</v>
      </c>
      <c r="I56" s="81" t="s">
        <v>102</v>
      </c>
      <c r="J56" s="81" t="s">
        <v>32</v>
      </c>
      <c r="K56" s="81" t="s">
        <v>32</v>
      </c>
      <c r="L56" s="81" t="s">
        <v>5</v>
      </c>
      <c r="M56" s="81"/>
      <c r="N56" s="81" t="s">
        <v>60</v>
      </c>
      <c r="O56" s="81" t="s">
        <v>61</v>
      </c>
      <c r="P56" s="81" t="s">
        <v>71</v>
      </c>
      <c r="Q56" s="81" t="s">
        <v>101</v>
      </c>
      <c r="R56" s="82" t="s">
        <v>5</v>
      </c>
      <c r="S56" s="98"/>
    </row>
    <row r="57" spans="2:19" ht="11.1" customHeight="1" x14ac:dyDescent="0.2">
      <c r="B57" s="96"/>
      <c r="C57" s="83" t="s">
        <v>80</v>
      </c>
      <c r="D57" s="86">
        <f ca="1">+IF(VLOOKUP(#REF!,INDIRECT(#REF!),2,FALSE)="","-",VLOOKUP(#REF!,INDIRECT(#REF!),2,FALSE))</f>
        <v>40.706000000000003</v>
      </c>
      <c r="E57" s="86">
        <f ca="1">+IF(VLOOKUP(#REF!,INDIRECT(#REF!),2,FALSE)="","-",VLOOKUP(#REF!,INDIRECT(#REF!),2,FALSE))</f>
        <v>36.805999999999997</v>
      </c>
      <c r="F57" s="85">
        <f ca="1">+IF(VLOOKUP(#REF!,INDIRECT(#REF!),2,FALSE)="","-",VLOOKUP(#REF!,INDIRECT(#REF!),2,FALSE))</f>
        <v>944.9511</v>
      </c>
      <c r="G57" s="84">
        <f ca="1">+IF(VLOOKUP(#REF!,INDIRECT(#REF!),2,FALSE)="","-",VLOOKUP(#REF!,INDIRECT(#REF!),2,FALSE))</f>
        <v>0.49299999999999999</v>
      </c>
      <c r="H57" s="86">
        <f ca="1">+IF(VLOOKUP(#REF!,INDIRECT(#REF!),2,FALSE)="","-",VLOOKUP(#REF!,INDIRECT(#REF!),2,FALSE))</f>
        <v>4.42</v>
      </c>
      <c r="I57" s="86">
        <f ca="1">+IF(VLOOKUP(#REF!,INDIRECT(#REF!),2,FALSE)="","-",VLOOKUP(#REF!,INDIRECT(#REF!),2,FALSE))</f>
        <v>0.33</v>
      </c>
      <c r="J57" s="85">
        <f ca="1">+IF(VLOOKUP(#REF!,INDIRECT(#REF!),2,FALSE)="","-",VLOOKUP(#REF!,INDIRECT(#REF!),2,FALSE))</f>
        <v>9</v>
      </c>
      <c r="K57" s="85">
        <f ca="1">+IF(VLOOKUP(#REF!,INDIRECT(#REF!),2,FALSE)="","-",VLOOKUP(#REF!,INDIRECT(#REF!),2,FALSE))</f>
        <v>1.08</v>
      </c>
      <c r="L57" s="84">
        <f ca="1">+IF(VLOOKUP(#REF!,INDIRECT(#REF!),2,FALSE)="","-",VLOOKUP(#REF!,INDIRECT(#REF!),2,FALSE))</f>
        <v>0.29799999999999999</v>
      </c>
      <c r="M57" s="97"/>
      <c r="N57" s="85">
        <f ca="1">+IF(VLOOKUP(#REF!,INDIRECT(#REF!),2,FALSE)="","-",VLOOKUP(#REF!,INDIRECT(#REF!),2,FALSE))</f>
        <v>7.5</v>
      </c>
      <c r="O57" s="85">
        <f ca="1">+IF(VLOOKUP(#REF!,INDIRECT(#REF!),2,FALSE)="","-",VLOOKUP(#REF!,INDIRECT(#REF!),2,FALSE))</f>
        <v>31</v>
      </c>
      <c r="P57" s="85">
        <f ca="1">+IF(VLOOKUP(#REF!,INDIRECT(#REF!),2,FALSE)="","-",VLOOKUP(#REF!,INDIRECT(#REF!),2,FALSE))</f>
        <v>7.78</v>
      </c>
      <c r="Q57" s="85" t="s">
        <v>107</v>
      </c>
      <c r="R57" s="87">
        <f ca="1">+IF(VLOOKUP(#REF!,INDIRECT(#REF!),2,FALSE)="","-",VLOOKUP(#REF!,INDIRECT(#REF!),2,FALSE))</f>
        <v>9.5000000000000001E-2</v>
      </c>
      <c r="S57" s="98"/>
    </row>
    <row r="58" spans="2:19" ht="11.1" customHeight="1" x14ac:dyDescent="0.2">
      <c r="B58" s="96"/>
      <c r="C58" s="83" t="s">
        <v>81</v>
      </c>
      <c r="D58" s="86">
        <f ca="1">+IF(VLOOKUP(#REF!,INDIRECT(#REF!),2,FALSE)="","-",VLOOKUP(#REF!,INDIRECT(#REF!),2,FALSE))</f>
        <v>15.1</v>
      </c>
      <c r="E58" s="86">
        <f ca="1">+IF(VLOOKUP(#REF!,INDIRECT(#REF!),2,FALSE)="","-",VLOOKUP(#REF!,INDIRECT(#REF!),2,FALSE))</f>
        <v>13.13</v>
      </c>
      <c r="F58" s="85">
        <f ca="1">+IF(VLOOKUP(#REF!,INDIRECT(#REF!),2,FALSE)="","-",VLOOKUP(#REF!,INDIRECT(#REF!),2,FALSE))</f>
        <v>982.62689999999998</v>
      </c>
      <c r="G58" s="84">
        <f ca="1">+IF(VLOOKUP(#REF!,INDIRECT(#REF!),2,FALSE)="","-",VLOOKUP(#REF!,INDIRECT(#REF!),2,FALSE))</f>
        <v>0.67400000000000004</v>
      </c>
      <c r="H58" s="86">
        <f ca="1">+IF(VLOOKUP(#REF!,INDIRECT(#REF!),2,FALSE)="","-",VLOOKUP(#REF!,INDIRECT(#REF!),2,FALSE))</f>
        <v>11.6</v>
      </c>
      <c r="I58" s="86">
        <f ca="1">+IF(VLOOKUP(#REF!,INDIRECT(#REF!),2,FALSE)="","-",VLOOKUP(#REF!,INDIRECT(#REF!),2,FALSE))</f>
        <v>7.0999999999999994E-2</v>
      </c>
      <c r="J58" s="85">
        <f ca="1">+IF(VLOOKUP(#REF!,INDIRECT(#REF!),2,FALSE)="","-",VLOOKUP(#REF!,INDIRECT(#REF!),2,FALSE))</f>
        <v>24.1</v>
      </c>
      <c r="K58" s="85">
        <f ca="1">+IF(VLOOKUP(#REF!,INDIRECT(#REF!),2,FALSE)="","-",VLOOKUP(#REF!,INDIRECT(#REF!),2,FALSE))</f>
        <v>2.89</v>
      </c>
      <c r="L58" s="84">
        <f ca="1">+IF(VLOOKUP(#REF!,INDIRECT(#REF!),2,FALSE)="","-",VLOOKUP(#REF!,INDIRECT(#REF!),2,FALSE))</f>
        <v>0.54800000000000004</v>
      </c>
      <c r="M58" s="97"/>
      <c r="N58" s="85">
        <f ca="1">+IF(VLOOKUP(#REF!,INDIRECT(#REF!),2,FALSE)="","-",VLOOKUP(#REF!,INDIRECT(#REF!),2,FALSE))</f>
        <v>38.200000000000003</v>
      </c>
      <c r="O58" s="85">
        <f ca="1">+IF(VLOOKUP(#REF!,INDIRECT(#REF!),2,FALSE)="","-",VLOOKUP(#REF!,INDIRECT(#REF!),2,FALSE))</f>
        <v>517</v>
      </c>
      <c r="P58" s="85">
        <f ca="1">+IF(VLOOKUP(#REF!,INDIRECT(#REF!),2,FALSE)="","-",VLOOKUP(#REF!,INDIRECT(#REF!),2,FALSE))</f>
        <v>54.8</v>
      </c>
      <c r="Q58" s="85">
        <f ca="1">+IF(VLOOKUP(#REF!,INDIRECT(#REF!),2,FALSE)="","-",VLOOKUP(#REF!,INDIRECT(#REF!),2,FALSE))</f>
        <v>444</v>
      </c>
      <c r="R58" s="87">
        <f ca="1">+IF(VLOOKUP(#REF!,INDIRECT(#REF!),2,FALSE)="","-",VLOOKUP(#REF!,INDIRECT(#REF!),2,FALSE))</f>
        <v>0.24299999999999999</v>
      </c>
      <c r="S58" s="98"/>
    </row>
    <row r="59" spans="2:19" ht="11.1" customHeight="1" x14ac:dyDescent="0.2">
      <c r="B59" s="96"/>
      <c r="C59" s="83" t="s">
        <v>82</v>
      </c>
      <c r="D59" s="86">
        <f ca="1">+IF(VLOOKUP(#REF!,INDIRECT(#REF!),2,FALSE)="","-",VLOOKUP(#REF!,INDIRECT(#REF!),2,FALSE))</f>
        <v>13.566000000000001</v>
      </c>
      <c r="E59" s="86">
        <f ca="1">+IF(VLOOKUP(#REF!,INDIRECT(#REF!),2,FALSE)="","-",VLOOKUP(#REF!,INDIRECT(#REF!),2,FALSE))</f>
        <v>11.744</v>
      </c>
      <c r="F59" s="85">
        <f ca="1">+IF(VLOOKUP(#REF!,INDIRECT(#REF!),2,FALSE)="","-",VLOOKUP(#REF!,INDIRECT(#REF!),2,FALSE))</f>
        <v>986.93690000000004</v>
      </c>
      <c r="G59" s="84">
        <f ca="1">+IF(VLOOKUP(#REF!,INDIRECT(#REF!),2,FALSE)="","-",VLOOKUP(#REF!,INDIRECT(#REF!),2,FALSE))</f>
        <v>0.69199999999999995</v>
      </c>
      <c r="H59" s="86">
        <f ca="1">+IF(VLOOKUP(#REF!,INDIRECT(#REF!),2,FALSE)="","-",VLOOKUP(#REF!,INDIRECT(#REF!),2,FALSE))</f>
        <v>12.7</v>
      </c>
      <c r="I59" s="86">
        <f ca="1">+IF(VLOOKUP(#REF!,INDIRECT(#REF!),2,FALSE)="","-",VLOOKUP(#REF!,INDIRECT(#REF!),2,FALSE))</f>
        <v>5.3800000000000001E-2</v>
      </c>
      <c r="J59" s="85">
        <f ca="1">+IF(VLOOKUP(#REF!,INDIRECT(#REF!),2,FALSE)="","-",VLOOKUP(#REF!,INDIRECT(#REF!),2,FALSE))</f>
        <v>26.5</v>
      </c>
      <c r="K59" s="85">
        <f ca="1">+IF(VLOOKUP(#REF!,INDIRECT(#REF!),2,FALSE)="","-",VLOOKUP(#REF!,INDIRECT(#REF!),2,FALSE))</f>
        <v>3.18</v>
      </c>
      <c r="L59" s="84">
        <f ca="1">+IF(VLOOKUP(#REF!,INDIRECT(#REF!),2,FALSE)="","-",VLOOKUP(#REF!,INDIRECT(#REF!),2,FALSE))</f>
        <v>0.57599999999999996</v>
      </c>
      <c r="M59" s="97"/>
      <c r="N59" s="85">
        <f ca="1">+IF(VLOOKUP(#REF!,INDIRECT(#REF!),2,FALSE)="","-",VLOOKUP(#REF!,INDIRECT(#REF!),2,FALSE))</f>
        <v>40.200000000000003</v>
      </c>
      <c r="O59" s="85">
        <f ca="1">+IF(VLOOKUP(#REF!,INDIRECT(#REF!),2,FALSE)="","-",VLOOKUP(#REF!,INDIRECT(#REF!),2,FALSE))</f>
        <v>715</v>
      </c>
      <c r="P59" s="85">
        <f ca="1">+IF(VLOOKUP(#REF!,INDIRECT(#REF!),2,FALSE)="","-",VLOOKUP(#REF!,INDIRECT(#REF!),2,FALSE))</f>
        <v>68.099999999999994</v>
      </c>
      <c r="Q59" s="85">
        <f ca="1">+IF(VLOOKUP(#REF!,INDIRECT(#REF!),2,FALSE)="","-",VLOOKUP(#REF!,INDIRECT(#REF!),2,FALSE))</f>
        <v>342</v>
      </c>
      <c r="R59" s="87">
        <f ca="1">+IF(VLOOKUP(#REF!,INDIRECT(#REF!),2,FALSE)="","-",VLOOKUP(#REF!,INDIRECT(#REF!),2,FALSE))</f>
        <v>0.26500000000000001</v>
      </c>
      <c r="S59" s="98"/>
    </row>
    <row r="60" spans="2:19" ht="11.1" customHeight="1" x14ac:dyDescent="0.2">
      <c r="B60" s="88"/>
      <c r="C60" s="89" t="s">
        <v>83</v>
      </c>
      <c r="D60" s="90">
        <f ca="1">+IF(VLOOKUP(#REF!,INDIRECT(#REF!),2,FALSE)="","-",VLOOKUP(#REF!,INDIRECT(#REF!),2,FALSE))</f>
        <v>12.144</v>
      </c>
      <c r="E60" s="90">
        <f ca="1">+IF(VLOOKUP(#REF!,INDIRECT(#REF!),2,FALSE)="","-",VLOOKUP(#REF!,INDIRECT(#REF!),2,FALSE))</f>
        <v>10.465</v>
      </c>
      <c r="F60" s="100">
        <f ca="1">+IF(VLOOKUP(#REF!,INDIRECT(#REF!),2,FALSE)="","-",VLOOKUP(#REF!,INDIRECT(#REF!),2,FALSE))</f>
        <v>991.48689999999999</v>
      </c>
      <c r="G60" s="99">
        <f ca="1">+IF(VLOOKUP(#REF!,INDIRECT(#REF!),2,FALSE)="","-",VLOOKUP(#REF!,INDIRECT(#REF!),2,FALSE))</f>
        <v>0.71</v>
      </c>
      <c r="H60" s="90">
        <f ca="1">+IF(VLOOKUP(#REF!,INDIRECT(#REF!),2,FALSE)="","-",VLOOKUP(#REF!,INDIRECT(#REF!),2,FALSE))</f>
        <v>13.8</v>
      </c>
      <c r="I60" s="90">
        <f ca="1">+IF(VLOOKUP(#REF!,INDIRECT(#REF!),2,FALSE)="","-",VLOOKUP(#REF!,INDIRECT(#REF!),2,FALSE))</f>
        <v>3.9699999999999999E-2</v>
      </c>
      <c r="J60" s="100">
        <f ca="1">+IF(VLOOKUP(#REF!,INDIRECT(#REF!),2,FALSE)="","-",VLOOKUP(#REF!,INDIRECT(#REF!),2,FALSE))</f>
        <v>29.2</v>
      </c>
      <c r="K60" s="100">
        <f ca="1">+IF(VLOOKUP(#REF!,INDIRECT(#REF!),2,FALSE)="","-",VLOOKUP(#REF!,INDIRECT(#REF!),2,FALSE))</f>
        <v>3.51</v>
      </c>
      <c r="L60" s="99">
        <f ca="1">+IF(VLOOKUP(#REF!,INDIRECT(#REF!),2,FALSE)="","-",VLOOKUP(#REF!,INDIRECT(#REF!),2,FALSE))</f>
        <v>0.60499999999999998</v>
      </c>
      <c r="M60" s="104"/>
      <c r="N60" s="100">
        <f ca="1">+IF(VLOOKUP(#REF!,INDIRECT(#REF!),2,FALSE)="","-",VLOOKUP(#REF!,INDIRECT(#REF!),2,FALSE))</f>
        <v>42</v>
      </c>
      <c r="O60" s="100">
        <f ca="1">+IF(VLOOKUP(#REF!,INDIRECT(#REF!),2,FALSE)="","-",VLOOKUP(#REF!,INDIRECT(#REF!),2,FALSE))</f>
        <v>1020</v>
      </c>
      <c r="P60" s="100">
        <f ca="1">+IF(VLOOKUP(#REF!,INDIRECT(#REF!),2,FALSE)="","-",VLOOKUP(#REF!,INDIRECT(#REF!),2,FALSE))</f>
        <v>86.2</v>
      </c>
      <c r="Q60" s="100">
        <f ca="1">+IF(VLOOKUP(#REF!,INDIRECT(#REF!),2,FALSE)="","-",VLOOKUP(#REF!,INDIRECT(#REF!),2,FALSE))</f>
        <v>271</v>
      </c>
      <c r="R60" s="91">
        <f ca="1">+IF(VLOOKUP(#REF!,INDIRECT(#REF!),2,FALSE)="","-",VLOOKUP(#REF!,INDIRECT(#REF!),2,FALSE))</f>
        <v>0.28699999999999998</v>
      </c>
      <c r="S60" s="98"/>
    </row>
    <row r="61" spans="2:19" ht="11.1" customHeight="1" x14ac:dyDescent="0.2">
      <c r="B61" s="98" t="s">
        <v>103</v>
      </c>
      <c r="P61" s="106" t="s">
        <v>89</v>
      </c>
      <c r="R61" s="107">
        <f ca="1">TODAY()</f>
        <v>44392</v>
      </c>
      <c r="S61" s="98"/>
    </row>
  </sheetData>
  <mergeCells count="9">
    <mergeCell ref="M2:R2"/>
    <mergeCell ref="F3:G3"/>
    <mergeCell ref="H3:L3"/>
    <mergeCell ref="M3:R3"/>
    <mergeCell ref="B24:C24"/>
    <mergeCell ref="I5:L5"/>
    <mergeCell ref="I7:L7"/>
    <mergeCell ref="F2:G2"/>
    <mergeCell ref="H2:L2"/>
  </mergeCells>
  <pageMargins left="0.33" right="0.25" top="0.78740157480314965" bottom="0.39370078740157483" header="0.5" footer="0.5"/>
  <pageSetup paperSize="9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Assay</vt:lpstr>
      <vt:lpstr>Assay!_MV15</vt:lpstr>
      <vt:lpstr>Assay!Print_Area</vt:lpstr>
      <vt:lpstr>Assay!TRANSFERT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DELCOUR</dc:creator>
  <cp:lastModifiedBy>Vincent DELCOUR</cp:lastModifiedBy>
  <cp:lastPrinted>2021-07-15T09:14:13Z</cp:lastPrinted>
  <dcterms:created xsi:type="dcterms:W3CDTF">1997-11-17T16:47:22Z</dcterms:created>
  <dcterms:modified xsi:type="dcterms:W3CDTF">2021-07-15T09:14:36Z</dcterms:modified>
</cp:coreProperties>
</file>